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lag-nas\Dokumenti\LAG NATJEČAJI\TO 1.1.4\AKTIVACIJA 6.3.1. (NOVO) - VELJAČA 2020\KONTROLNI MEHANIZMI\"/>
    </mc:Choice>
  </mc:AlternateContent>
  <workbookProtection workbookPassword="98F8" lockStructure="1"/>
  <bookViews>
    <workbookView showSheetTabs="0" xWindow="0" yWindow="0" windowWidth="28740" windowHeight="11970" tabRatio="679"/>
  </bookViews>
  <sheets>
    <sheet name="KALKULATOR" sheetId="1" r:id="rId1"/>
    <sheet name="IZJAVA" sheetId="19" state="veryHidden" r:id="rId2"/>
    <sheet name="IZRAČUN" sheetId="22" state="veryHidden" r:id="rId3"/>
    <sheet name="SO" sheetId="2" state="veryHidden" r:id="rId4"/>
    <sheet name="CoefVeg" sheetId="11" state="veryHidden" r:id="rId5"/>
    <sheet name="CoefAni" sheetId="13" state="veryHidden" r:id="rId6"/>
    <sheet name="svrha izdavanja" sheetId="24" state="veryHidden" r:id="rId7"/>
  </sheets>
  <externalReferences>
    <externalReference r:id="rId8"/>
    <externalReference r:id="rId9"/>
  </externalReferences>
  <definedNames>
    <definedName name="_1T" localSheetId="1">#REF!</definedName>
    <definedName name="_1T" localSheetId="2">[1]OTEX!$AB$33</definedName>
    <definedName name="_1T">KALKULATOR!$AC$33</definedName>
    <definedName name="_2.01.01.01" localSheetId="1">#REF!</definedName>
    <definedName name="_2.01.01.01" localSheetId="2">[1]OTEX!$J$14</definedName>
    <definedName name="_2.01.01.01">KALKULATOR!$J$14</definedName>
    <definedName name="_2.01.01.03" localSheetId="1">#REF!</definedName>
    <definedName name="_2.01.01.03" localSheetId="2">[1]OTEX!$J$18</definedName>
    <definedName name="_2.01.01.03">KALKULATOR!$J$18</definedName>
    <definedName name="_2.01.01.04" localSheetId="1">#REF!</definedName>
    <definedName name="_2.01.01.04" localSheetId="2">[1]OTEX!$J$16</definedName>
    <definedName name="_2.01.01.04">KALKULATOR!$J$16</definedName>
    <definedName name="_2.01.01.05" localSheetId="1">#REF!</definedName>
    <definedName name="_2.01.01.05" localSheetId="2">[1]OTEX!$J$17</definedName>
    <definedName name="_2.01.01.05">KALKULATOR!$J$17</definedName>
    <definedName name="_2.01.01.06" localSheetId="1">#REF!</definedName>
    <definedName name="_2.01.01.06" localSheetId="2">[1]OTEX!$J$15</definedName>
    <definedName name="_2.01.01.06">KALKULATOR!$J$15</definedName>
    <definedName name="_2.01.01.99" localSheetId="1">#REF!</definedName>
    <definedName name="_2.01.01.99" localSheetId="2">[1]OTEX!$J$19</definedName>
    <definedName name="_2.01.01.99">KALKULATOR!$J$19</definedName>
    <definedName name="_2.01.02" localSheetId="1">#REF!</definedName>
    <definedName name="_2.01.02" localSheetId="2">[1]OTEX!$S$14</definedName>
    <definedName name="_2.01.02">KALKULATOR!$S$14</definedName>
    <definedName name="_2.01.02.01" localSheetId="1">#REF!</definedName>
    <definedName name="_2.01.02.01" localSheetId="2">[1]OTEX!$R$14</definedName>
    <definedName name="_2.01.02.01">KALKULATOR!$R$14</definedName>
    <definedName name="_2.01.03" localSheetId="1">#REF!</definedName>
    <definedName name="_2.01.03" localSheetId="2">[1]OTEX!$J$24</definedName>
    <definedName name="_2.01.03">KALKULATOR!$J$24</definedName>
    <definedName name="_2.01.04" localSheetId="1">#REF!</definedName>
    <definedName name="_2.01.04" localSheetId="2">[1]OTEX!$J$22</definedName>
    <definedName name="_2.01.04">KALKULATOR!$J$22</definedName>
    <definedName name="_2.01.05" localSheetId="1">#REF!</definedName>
    <definedName name="_2.01.05" localSheetId="2">[1]OTEX!$R$19</definedName>
    <definedName name="_2.01.05">KALKULATOR!$R$19</definedName>
    <definedName name="_2.01.06.01" localSheetId="1">#REF!</definedName>
    <definedName name="_2.01.06.01" localSheetId="2">[1]OTEX!$J$23</definedName>
    <definedName name="_2.01.06.01">KALKULATOR!$J$23</definedName>
    <definedName name="_2.01.06.04" localSheetId="1">#REF!</definedName>
    <definedName name="_2.01.06.04" localSheetId="2">[1]OTEX!$J$28</definedName>
    <definedName name="_2.01.06.04">KALKULATOR!$J$28</definedName>
    <definedName name="_2.01.06.05" localSheetId="1">#REF!</definedName>
    <definedName name="_2.01.06.05" localSheetId="2">[1]OTEX!$J$29</definedName>
    <definedName name="_2.01.06.05">KALKULATOR!$J$29</definedName>
    <definedName name="_2.01.06.06" localSheetId="1">#REF!</definedName>
    <definedName name="_2.01.06.06" localSheetId="2">[1]OTEX!$J$30</definedName>
    <definedName name="_2.01.06.06">KALKULATOR!$J$30</definedName>
    <definedName name="_2.01.06.08" localSheetId="1">#REF!</definedName>
    <definedName name="_2.01.06.08" localSheetId="2">[1]OTEX!$J$31</definedName>
    <definedName name="_2.01.06.08">KALKULATOR!$J$31</definedName>
    <definedName name="_2.01.06.12" localSheetId="1">#REF!</definedName>
    <definedName name="_2.01.06.12" localSheetId="2">[1]OTEX!$J$34</definedName>
    <definedName name="_2.01.06.12">KALKULATOR!$J$34</definedName>
    <definedName name="_2.01.06.99" localSheetId="1">#REF!</definedName>
    <definedName name="_2.01.06.99" localSheetId="2">[1]OTEX!$J$35</definedName>
    <definedName name="_2.01.06.99">KALKULATOR!$J$35</definedName>
    <definedName name="_2.01.07.01.01" localSheetId="1">#REF!</definedName>
    <definedName name="_2.01.07.01.01" localSheetId="2">[1]OTEX!$R$33</definedName>
    <definedName name="_2.01.07.01.01">KALKULATOR!$R$33</definedName>
    <definedName name="_2.01.07.01.02" localSheetId="1">#REF!</definedName>
    <definedName name="_2.01.07.01.02" localSheetId="2">[1]OTEX!$R$34</definedName>
    <definedName name="_2.01.07.01.02">KALKULATOR!$R$34</definedName>
    <definedName name="_2.01.07.02" localSheetId="1">#REF!</definedName>
    <definedName name="_2.01.07.02" localSheetId="2">[1]OTEX!$R$35</definedName>
    <definedName name="_2.01.07.02">KALKULATOR!$R$35</definedName>
    <definedName name="_2.01.08.01" localSheetId="1">#REF!</definedName>
    <definedName name="_2.01.08.01" localSheetId="2">[1]OTEX!$R$28</definedName>
    <definedName name="_2.01.08.01">KALKULATOR!$R$28</definedName>
    <definedName name="_2.01.08.02" localSheetId="1">#REF!</definedName>
    <definedName name="_2.01.08.02" localSheetId="2">[1]OTEX!$R$29</definedName>
    <definedName name="_2.01.08.02">KALKULATOR!$R$29</definedName>
    <definedName name="_2.01.09" localSheetId="1">#REF!</definedName>
    <definedName name="_2.01.09" localSheetId="2">[1]OTEX!$S$18</definedName>
    <definedName name="_2.01.09">KALKULATOR!$S$18</definedName>
    <definedName name="_2.01.09.02" localSheetId="1">#REF!</definedName>
    <definedName name="_2.01.09.02" localSheetId="2">[1]OTEX!$S$17</definedName>
    <definedName name="_2.01.09.02">KALKULATOR!$S$17</definedName>
    <definedName name="_2.01.09.02.01" localSheetId="1">#REF!</definedName>
    <definedName name="_2.01.09.02.01" localSheetId="2">[1]OTEX!$R$16</definedName>
    <definedName name="_2.01.09.02.01">KALKULATOR!$R$16</definedName>
    <definedName name="_2.01.09.02.02" localSheetId="1">#REF!</definedName>
    <definedName name="_2.01.09.02.02" localSheetId="2">[1]OTEX!$R$15</definedName>
    <definedName name="_2.01.09.02.02">KALKULATOR!$R$15</definedName>
    <definedName name="_2.01.09.02.99" localSheetId="1">#REF!</definedName>
    <definedName name="_2.01.09.02.99" localSheetId="2">[1]OTEX!$R$17</definedName>
    <definedName name="_2.01.09.02.99">KALKULATOR!$R$17</definedName>
    <definedName name="_2.01.10" localSheetId="1">#REF!</definedName>
    <definedName name="_2.01.10" localSheetId="2">[1]OTEX!$R$23</definedName>
    <definedName name="_2.01.10">KALKULATOR!$R$23</definedName>
    <definedName name="_2.03.01" localSheetId="1">#REF!</definedName>
    <definedName name="_2.03.01" localSheetId="2">[1]OTEX!$R$18</definedName>
    <definedName name="_2.03.01">KALKULATOR!$R$18</definedName>
    <definedName name="_2.04.01" localSheetId="1">#REF!</definedName>
    <definedName name="_2.04.01" localSheetId="2">[1]OTEX!$Z$16</definedName>
    <definedName name="_2.04.01">KALKULATOR!$AA$16</definedName>
    <definedName name="_2.04.01.01" localSheetId="1">#REF!</definedName>
    <definedName name="_2.04.01.01" localSheetId="2">[1]OTEX!$Z$14</definedName>
    <definedName name="_2.04.01.01">KALKULATOR!$AA$14</definedName>
    <definedName name="_2.04.01.01.01" localSheetId="1">#REF!</definedName>
    <definedName name="_2.04.01.01.01" localSheetId="2">[1]OTEX!$Z$15</definedName>
    <definedName name="_2.04.01.01.01">KALKULATOR!$AA$15</definedName>
    <definedName name="_2.04.01.01.01_A" localSheetId="1">#REF!</definedName>
    <definedName name="_2.04.01.01.01_A" localSheetId="2">[1]OTEX!$Y$14</definedName>
    <definedName name="_2.04.01.01.01_A">KALKULATOR!$Y$14</definedName>
    <definedName name="_2.04.01.01.01_B" localSheetId="1">#REF!</definedName>
    <definedName name="_2.04.01.01.01_B" localSheetId="2">[1]OTEX!$Y$15</definedName>
    <definedName name="_2.04.01.01.01_B">KALKULATOR!$Y$15</definedName>
    <definedName name="_2.04.01.02" localSheetId="1">#REF!</definedName>
    <definedName name="_2.04.01.02" localSheetId="2">[1]OTEX!$Y$16</definedName>
    <definedName name="_2.04.01.02">KALKULATOR!$Y$16</definedName>
    <definedName name="_2.04.01.03" localSheetId="1">#REF!</definedName>
    <definedName name="_2.04.01.03" localSheetId="2">[1]OTEX!$Y$17</definedName>
    <definedName name="_2.04.01.03">KALKULATOR!$Y$17</definedName>
    <definedName name="_2.04.02" localSheetId="1">#REF!</definedName>
    <definedName name="_2.04.02" localSheetId="2">[1]OTEX!$Y$18</definedName>
    <definedName name="_2.04.02">KALKULATOR!$Y$18</definedName>
    <definedName name="_2.04.03" localSheetId="1">#REF!</definedName>
    <definedName name="_2.04.03" localSheetId="2">[1]OTEX!$Z$31</definedName>
    <definedName name="_2.04.03">KALKULATOR!$AA$31</definedName>
    <definedName name="_2.04.03.01" localSheetId="1">#REF!</definedName>
    <definedName name="_2.04.03.01" localSheetId="2">[1]OTEX!$Y$30</definedName>
    <definedName name="_2.04.03.01">KALKULATOR!$Y$28</definedName>
    <definedName name="_2.04.03.02" localSheetId="1">#REF!</definedName>
    <definedName name="_2.04.03.02" localSheetId="2">[1]OTEX!$Y$31</definedName>
    <definedName name="_2.04.03.02">KALKULATOR!$Y$29</definedName>
    <definedName name="_2.04.04" localSheetId="1">#REF!</definedName>
    <definedName name="_2.04.04" localSheetId="2">[1]OTEX!$Z$25</definedName>
    <definedName name="_2.04.04">KALKULATOR!$AA$25</definedName>
    <definedName name="_2.04.04.01" localSheetId="1">#REF!</definedName>
    <definedName name="_2.04.04.01" localSheetId="2">[1]OTEX!$Y$23</definedName>
    <definedName name="_2.04.04.01">KALKULATOR!$Y$22</definedName>
    <definedName name="_2.04.04.02" localSheetId="1">#REF!</definedName>
    <definedName name="_2.04.04.02" localSheetId="2">[1]OTEX!$Y$24</definedName>
    <definedName name="_2.04.04.02">KALKULATOR!$Y$23</definedName>
    <definedName name="_2.04.04.03" localSheetId="1">#REF!</definedName>
    <definedName name="_2.04.04.03" localSheetId="2">[1]OTEX!$Y$25</definedName>
    <definedName name="_2.04.04.03">KALKULATOR!$Y$24</definedName>
    <definedName name="_2.04.05" localSheetId="1">#REF!</definedName>
    <definedName name="_2.04.05" localSheetId="2">[1]OTEX!$R$24</definedName>
    <definedName name="_2.04.05">KALKULATOR!$R$24</definedName>
    <definedName name="_2.04.06.01">KALKULATOR!$J$36</definedName>
    <definedName name="_2.04.06.01.">KALKULATOR!$J$36</definedName>
    <definedName name="_2.06.01" localSheetId="1">[2]OTEX!$Y$36</definedName>
    <definedName name="_2.06.01" localSheetId="2">[1]OTEX!$Y$36</definedName>
    <definedName name="_2.06.01">KALKULATOR!$Y$33</definedName>
    <definedName name="_2T" localSheetId="1">#REF!</definedName>
    <definedName name="_2T" localSheetId="2">[1]OTEX!$AB$34</definedName>
    <definedName name="_2T">KALKULATOR!$AC$34</definedName>
    <definedName name="_3.01" localSheetId="1">#REF!</definedName>
    <definedName name="_3.01" localSheetId="2">[1]OTEX!$J$43</definedName>
    <definedName name="_3.01">KALKULATOR!$J$43</definedName>
    <definedName name="_3.02.01" localSheetId="1">#REF!</definedName>
    <definedName name="_3.02.01" localSheetId="2">[1]OTEX!$K$47</definedName>
    <definedName name="_3.02.01">KALKULATOR!$K$47</definedName>
    <definedName name="_3.02.02" localSheetId="1">#REF!</definedName>
    <definedName name="_3.02.02" localSheetId="2">[1]OTEX!$J$48</definedName>
    <definedName name="_3.02.02">KALKULATOR!$J$48</definedName>
    <definedName name="_3.02.03" localSheetId="1">#REF!</definedName>
    <definedName name="_3.02.03" localSheetId="2">[1]OTEX!$J$49</definedName>
    <definedName name="_3.02.03">KALKULATOR!$J$49</definedName>
    <definedName name="_3.02.04" localSheetId="1">#REF!</definedName>
    <definedName name="_3.02.04" localSheetId="2">[1]OTEX!$J$50</definedName>
    <definedName name="_3.02.04">KALKULATOR!$J$50</definedName>
    <definedName name="_3.02.05" localSheetId="1">#REF!</definedName>
    <definedName name="_3.02.05" localSheetId="2">[1]OTEX!$J$51</definedName>
    <definedName name="_3.02.05">KALKULATOR!$J$51</definedName>
    <definedName name="_3.02.06" localSheetId="1">#REF!</definedName>
    <definedName name="_3.02.06" localSheetId="2">[1]OTEX!$J$52</definedName>
    <definedName name="_3.02.06">KALKULATOR!$J$52</definedName>
    <definedName name="_3.02.99" localSheetId="1">#REF!</definedName>
    <definedName name="_3.02.99" localSheetId="2">[1]OTEX!$J$53</definedName>
    <definedName name="_3.02.99">KALKULATOR!$J$53</definedName>
    <definedName name="_3.03.01" localSheetId="1">#REF!</definedName>
    <definedName name="_3.03.01" localSheetId="2">[1]OTEX!$K$58</definedName>
    <definedName name="_3.03.01">KALKULATOR!$K$58</definedName>
    <definedName name="_3.03.01.01" localSheetId="1">#REF!</definedName>
    <definedName name="_3.03.01.01" localSheetId="2">[1]OTEX!$J$57</definedName>
    <definedName name="_3.03.01.01">KALKULATOR!$J$57</definedName>
    <definedName name="_3.03.01.99" localSheetId="1">#REF!</definedName>
    <definedName name="_3.03.01.99" localSheetId="2">[1]OTEX!$J$58</definedName>
    <definedName name="_3.03.01.99">KALKULATOR!$J$58</definedName>
    <definedName name="_3.03.02" localSheetId="1">#REF!</definedName>
    <definedName name="_3.03.02" localSheetId="2">[1]OTEX!$K$63</definedName>
    <definedName name="_3.03.02">KALKULATOR!$K$63</definedName>
    <definedName name="_3.03.02.01" localSheetId="1">#REF!</definedName>
    <definedName name="_3.03.02.01" localSheetId="2">[1]OTEX!$J$62</definedName>
    <definedName name="_3.03.02.01">KALKULATOR!$J$62</definedName>
    <definedName name="_3.03.02.99" localSheetId="1">#REF!</definedName>
    <definedName name="_3.03.02.99" localSheetId="2">[1]OTEX!$J$63</definedName>
    <definedName name="_3.03.02.99">KALKULATOR!$J$63</definedName>
    <definedName name="_3.04.01" localSheetId="1">#REF!</definedName>
    <definedName name="_3.04.01" localSheetId="2">[1]OTEX!$R$43</definedName>
    <definedName name="_3.04.01">KALKULATOR!$R$43</definedName>
    <definedName name="_3.04.02" localSheetId="1">#REF!</definedName>
    <definedName name="_3.04.02" localSheetId="2">[1]OTEX!$R$44</definedName>
    <definedName name="_3.04.02">KALKULATOR!$R$44</definedName>
    <definedName name="_3.04.99" localSheetId="1">#REF!</definedName>
    <definedName name="_3.04.99" localSheetId="2">[1]OTEX!$S$46</definedName>
    <definedName name="_3.04.99">KALKULATOR!$S$46</definedName>
    <definedName name="_3.04.99_A" localSheetId="1">#REF!</definedName>
    <definedName name="_3.04.99_A" localSheetId="2">[1]OTEX!$R$45</definedName>
    <definedName name="_3.04.99_A">KALKULATOR!$R$45</definedName>
    <definedName name="_3.04.99_B" localSheetId="1">#REF!</definedName>
    <definedName name="_3.04.99_B" localSheetId="2">[1]OTEX!$R$46</definedName>
    <definedName name="_3.04.99_B">KALKULATOR!$R$46</definedName>
    <definedName name="_3.05.01" localSheetId="1">#REF!</definedName>
    <definedName name="_3.05.01" localSheetId="2">[1]OTEX!$R$50</definedName>
    <definedName name="_3.05.01">KALKULATOR!$R$50</definedName>
    <definedName name="_3.05.02" localSheetId="1">#REF!</definedName>
    <definedName name="_3.05.02" localSheetId="2">[1]OTEX!$R$51</definedName>
    <definedName name="_3.05.02">KALKULATOR!$R$51</definedName>
    <definedName name="_3.05.03" localSheetId="1">#REF!</definedName>
    <definedName name="_3.05.03" localSheetId="2">[1]OTEX!$R$52</definedName>
    <definedName name="_3.05.03">KALKULATOR!$R$52</definedName>
    <definedName name="_3.06" localSheetId="1">[2]OTEX!$R$64</definedName>
    <definedName name="_3.06" localSheetId="2">[1]OTEX!$R$64</definedName>
    <definedName name="_3.06">KALKULATOR!$R$64</definedName>
    <definedName name="_3.07" localSheetId="1">#REF!</definedName>
    <definedName name="_3.07" localSheetId="2">[1]OTEX!$R$56</definedName>
    <definedName name="_3.07">KALKULATOR!$R$56</definedName>
    <definedName name="_3.08" localSheetId="1">[2]OTEX!$R$60</definedName>
    <definedName name="_3.08" localSheetId="2">[1]OTEX!$R$60</definedName>
    <definedName name="_3.08">KALKULATOR!$R$60</definedName>
    <definedName name="_ES14_NAME" localSheetId="1">#REF!</definedName>
    <definedName name="_ES14_NAME" localSheetId="2">[1]OTEX!$AF$88</definedName>
    <definedName name="_ES14_NAME">KALKULATOR!$AG$88</definedName>
    <definedName name="_ES5_1" localSheetId="1">#REF!</definedName>
    <definedName name="_ES5_1" localSheetId="2">[1]OTEX!$AF$131</definedName>
    <definedName name="_ES5_1">KALKULATOR!$AG$131</definedName>
    <definedName name="_ES5_2" localSheetId="1">#REF!</definedName>
    <definedName name="_ES5_2" localSheetId="2">[1]OTEX!$AF$132</definedName>
    <definedName name="_ES5_2">KALKULATOR!$AG$132</definedName>
    <definedName name="_ES5_3" localSheetId="1">#REF!</definedName>
    <definedName name="_ES5_3" localSheetId="2">[1]OTEX!$AF$133</definedName>
    <definedName name="_ES5_3">KALKULATOR!$AG$133</definedName>
    <definedName name="_ES5_4" localSheetId="1">#REF!</definedName>
    <definedName name="_ES5_4" localSheetId="2">[1]OTEX!$AF$134</definedName>
    <definedName name="_ES5_4">KALKULATOR!$AG$134</definedName>
    <definedName name="_ES5_5" localSheetId="1">#REF!</definedName>
    <definedName name="_ES5_5" localSheetId="2">[1]OTEX!$AF$135</definedName>
    <definedName name="_ES5_5">KALKULATOR!$AG$135</definedName>
    <definedName name="_ES5_NAME">KALKULATOR!$AG$129</definedName>
    <definedName name="_FCP1" localSheetId="1">#REF!</definedName>
    <definedName name="_FCP1" localSheetId="2">[1]OTEX!$AB$30</definedName>
    <definedName name="_FCP1">KALKULATOR!$AC$30</definedName>
    <definedName name="_FCP4" localSheetId="1">#REF!</definedName>
    <definedName name="_FCP4" localSheetId="2">[1]OTEX!$AB$28</definedName>
    <definedName name="_FCP4">KALKULATOR!$AC$28</definedName>
    <definedName name="_GL" localSheetId="1">#REF!</definedName>
    <definedName name="_GL" localSheetId="2">[1]OTEX!$AB$27</definedName>
    <definedName name="_GL">KALKULATOR!$AC$27</definedName>
    <definedName name="_P1" localSheetId="1">#REF!</definedName>
    <definedName name="_P1" localSheetId="2">[1]OTEX!$AB$13</definedName>
    <definedName name="_P1">KALKULATOR!$AC$13</definedName>
    <definedName name="_P15" localSheetId="1">#REF!</definedName>
    <definedName name="_P15" localSheetId="2">[1]OTEX!$AB$19</definedName>
    <definedName name="_P15">KALKULATOR!$AC$19</definedName>
    <definedName name="_P151" localSheetId="1">#REF!</definedName>
    <definedName name="_P151" localSheetId="2">[1]OTEX!$AB$20</definedName>
    <definedName name="_P151">KALKULATOR!$AC$20</definedName>
    <definedName name="_P16" localSheetId="1">#REF!</definedName>
    <definedName name="_P16" localSheetId="2">[1]OTEX!$AB$21</definedName>
    <definedName name="_P16">KALKULATOR!$AC$21</definedName>
    <definedName name="_P17" localSheetId="1">#REF!</definedName>
    <definedName name="_P17" localSheetId="2">[1]OTEX!$AB$22</definedName>
    <definedName name="_P17">KALKULATOR!$AC$22</definedName>
    <definedName name="_P2" localSheetId="1">#REF!</definedName>
    <definedName name="_P2" localSheetId="2">[1]OTEX!$AB$14</definedName>
    <definedName name="_P2">KALKULATOR!$AC$14</definedName>
    <definedName name="_P231" localSheetId="1">[2]OTEX!$AB$15</definedName>
    <definedName name="_P231" localSheetId="2">[1]OTEX!$AB$15</definedName>
    <definedName name="_P231">KALKULATOR!$AC$15</definedName>
    <definedName name="_P3" localSheetId="1">#REF!</definedName>
    <definedName name="_P3" localSheetId="2">[1]OTEX!$AB$16</definedName>
    <definedName name="_P3">KALKULATOR!$AC$16</definedName>
    <definedName name="_P4" localSheetId="1">#REF!</definedName>
    <definedName name="_P4" localSheetId="2">[1]OTEX!$AB$17</definedName>
    <definedName name="_P4">KALKULATOR!$AC$17</definedName>
    <definedName name="_P45" localSheetId="1">#REF!</definedName>
    <definedName name="_P45" localSheetId="2">[1]OTEX!$AB$23</definedName>
    <definedName name="_P45">KALKULATOR!$AC$23</definedName>
    <definedName name="_P46" localSheetId="1">#REF!</definedName>
    <definedName name="_P46" localSheetId="2">[1]OTEX!$AB$24</definedName>
    <definedName name="_P46">KALKULATOR!$AC$24</definedName>
    <definedName name="_P5" localSheetId="1">#REF!</definedName>
    <definedName name="_P5" localSheetId="2">[1]OTEX!$AB$18</definedName>
    <definedName name="_P5">KALKULATOR!$AC$18</definedName>
    <definedName name="_P51" localSheetId="1">#REF!</definedName>
    <definedName name="_P51" localSheetId="2">[1]OTEX!$AB$25</definedName>
    <definedName name="_P51">KALKULATOR!$AC$25</definedName>
    <definedName name="_P52" localSheetId="1">#REF!</definedName>
    <definedName name="_P52" localSheetId="2">[1]OTEX!$AB$26</definedName>
    <definedName name="_P52">KALKULATOR!$AC$26</definedName>
    <definedName name="_PN1" localSheetId="1">#REF!</definedName>
    <definedName name="_PN1" localSheetId="2">[1]OTEX!$AA$41:$AF$49</definedName>
    <definedName name="_PN1">KALKULATOR!$AB$41:$AG$49</definedName>
    <definedName name="_PN1_10" localSheetId="1">#REF!</definedName>
    <definedName name="_PN1_10" localSheetId="2">[1]OTEX!$AU$41</definedName>
    <definedName name="_PN1_10">KALKULATOR!$AV$41</definedName>
    <definedName name="_PN1_20" localSheetId="1">#REF!</definedName>
    <definedName name="_PN1_20" localSheetId="2">[1]OTEX!$AU$42</definedName>
    <definedName name="_PN1_20">KALKULATOR!$AV$42</definedName>
    <definedName name="_PN1_30" localSheetId="1">#REF!</definedName>
    <definedName name="_PN1_30" localSheetId="2">[1]OTEX!$AU$43</definedName>
    <definedName name="_PN1_30">KALKULATOR!$AV$43</definedName>
    <definedName name="_PN1_40" localSheetId="1">#REF!</definedName>
    <definedName name="_PN1_40" localSheetId="2">[1]OTEX!$AU$44</definedName>
    <definedName name="_PN1_40">KALKULATOR!$AV$44</definedName>
    <definedName name="_PN1_50" localSheetId="1">#REF!</definedName>
    <definedName name="_PN1_50" localSheetId="2">[1]OTEX!$AU$45</definedName>
    <definedName name="_PN1_50">KALKULATOR!$AV$45</definedName>
    <definedName name="_PN1_60" localSheetId="1">#REF!</definedName>
    <definedName name="_PN1_60" localSheetId="2">[1]OTEX!$AU$46</definedName>
    <definedName name="_PN1_60">KALKULATOR!$AV$46</definedName>
    <definedName name="_PN1_70" localSheetId="1">#REF!</definedName>
    <definedName name="_PN1_70" localSheetId="2">[1]OTEX!$AU$47</definedName>
    <definedName name="_PN1_70">KALKULATOR!$AV$47</definedName>
    <definedName name="_PN1_90" localSheetId="1">#REF!</definedName>
    <definedName name="_PN1_90" localSheetId="2">[1]OTEX!$AU$48</definedName>
    <definedName name="_PN1_90">KALKULATOR!$AV$48</definedName>
    <definedName name="_PN2" localSheetId="1">#REF!</definedName>
    <definedName name="_PN2" localSheetId="2">[1]OTEX!$AA$56:$AF$77</definedName>
    <definedName name="_PN2">KALKULATOR!$AB$56:$AG$77</definedName>
    <definedName name="_PN3_161" localSheetId="1">#REF!</definedName>
    <definedName name="_PN3_161" localSheetId="2">[1]OTEX!$AM$45</definedName>
    <definedName name="_PN3_161">KALKULATOR!$AN$45</definedName>
    <definedName name="_PN3_162" localSheetId="1">#REF!</definedName>
    <definedName name="_PN3_162" localSheetId="2">[1]OTEX!$AM$46</definedName>
    <definedName name="_PN3_162">KALKULATOR!$AN$46</definedName>
    <definedName name="_PN3_163" localSheetId="1">#REF!</definedName>
    <definedName name="_PN3_163" localSheetId="2">[1]OTEX!$AM$47</definedName>
    <definedName name="_PN3_163">KALKULATOR!$AN$47</definedName>
    <definedName name="_PN3_164" localSheetId="1">#REF!</definedName>
    <definedName name="_PN3_164" localSheetId="2">[1]OTEX!$AM$48</definedName>
    <definedName name="_PN3_164">KALKULATOR!$AN$48</definedName>
    <definedName name="_PN3_165" localSheetId="1">#REF!</definedName>
    <definedName name="_PN3_165" localSheetId="2">[1]OTEX!$AM$49</definedName>
    <definedName name="_PN3_165">KALKULATOR!$AN$49</definedName>
    <definedName name="_PN3_166" localSheetId="1">#REF!</definedName>
    <definedName name="_PN3_166" localSheetId="2">[1]OTEX!$AM$50</definedName>
    <definedName name="_PN3_166">KALKULATOR!$AN$50</definedName>
    <definedName name="_PN3_211" localSheetId="1">#REF!</definedName>
    <definedName name="_PN3_211" localSheetId="2">[1]OTEX!$AM$51</definedName>
    <definedName name="_PN3_211">KALKULATOR!$AN$51</definedName>
    <definedName name="_PN3_212" localSheetId="1">#REF!</definedName>
    <definedName name="_PN3_212" localSheetId="2">[1]OTEX!$AM$52</definedName>
    <definedName name="_PN3_212">KALKULATOR!$AN$52</definedName>
    <definedName name="_PN3_213" localSheetId="1">#REF!</definedName>
    <definedName name="_PN3_213" localSheetId="2">[1]OTEX!$AM$53</definedName>
    <definedName name="_PN3_213">KALKULATOR!$AN$53</definedName>
    <definedName name="_PN3_221" localSheetId="1">#REF!</definedName>
    <definedName name="_PN3_221" localSheetId="2">[1]OTEX!$AM$54</definedName>
    <definedName name="_PN3_221">KALKULATOR!$AN$54</definedName>
    <definedName name="_PN3_222" localSheetId="1">#REF!</definedName>
    <definedName name="_PN3_222" localSheetId="2">[1]OTEX!$AM$55</definedName>
    <definedName name="_PN3_222">KALKULATOR!$AN$55</definedName>
    <definedName name="_PN3_223" localSheetId="1">#REF!</definedName>
    <definedName name="_PN3_223" localSheetId="2">[1]OTEX!$AM$56</definedName>
    <definedName name="_PN3_223">KALKULATOR!$AN$56</definedName>
    <definedName name="_PN3_231" localSheetId="1">#REF!</definedName>
    <definedName name="_PN3_231" localSheetId="2">[1]OTEX!$AM$57</definedName>
    <definedName name="_PN3_231">KALKULATOR!$AN$57</definedName>
    <definedName name="_PN3_232" localSheetId="1">#REF!</definedName>
    <definedName name="_PN3_232" localSheetId="2">[1]OTEX!$AM$58</definedName>
    <definedName name="_PN3_232">KALKULATOR!$AN$58</definedName>
    <definedName name="_PN3_233" localSheetId="1">#REF!</definedName>
    <definedName name="_PN3_233" localSheetId="2">[1]OTEX!$AM$59</definedName>
    <definedName name="_PN3_233">KALKULATOR!$AN$59</definedName>
    <definedName name="_PN3_351" localSheetId="1">#REF!</definedName>
    <definedName name="_PN3_351" localSheetId="2">[1]OTEX!$AM$60</definedName>
    <definedName name="_PN3_351">KALKULATOR!$AN$60</definedName>
    <definedName name="_PN3_352" localSheetId="1">#REF!</definedName>
    <definedName name="_PN3_352" localSheetId="2">[1]OTEX!$AM$61</definedName>
    <definedName name="_PN3_352">KALKULATOR!$AN$61</definedName>
    <definedName name="_PN3_353" localSheetId="1">#REF!</definedName>
    <definedName name="_PN3_353" localSheetId="2">[1]OTEX!$AM$62</definedName>
    <definedName name="_PN3_353">KALKULATOR!$AN$62</definedName>
    <definedName name="_PN3_354" localSheetId="1">#REF!</definedName>
    <definedName name="_PN3_354" localSheetId="2">[1]OTEX!$AM$63</definedName>
    <definedName name="_PN3_354">KALKULATOR!$AN$63</definedName>
    <definedName name="_PN3_361" localSheetId="1">#REF!</definedName>
    <definedName name="_PN3_361" localSheetId="2">[1]OTEX!$AM$64</definedName>
    <definedName name="_PN3_361">KALKULATOR!$AN$64</definedName>
    <definedName name="_PN3_362" localSheetId="1">#REF!</definedName>
    <definedName name="_PN3_362" localSheetId="2">[1]OTEX!$AM$65</definedName>
    <definedName name="_PN3_362">KALKULATOR!$AN$65</definedName>
    <definedName name="_PN3_363" localSheetId="1">#REF!</definedName>
    <definedName name="_PN3_363" localSheetId="2">[1]OTEX!$AM$66</definedName>
    <definedName name="_PN3_363">KALKULATOR!$AN$66</definedName>
    <definedName name="_PN3_364" localSheetId="1">#REF!</definedName>
    <definedName name="_PN3_364" localSheetId="2">[1]OTEX!$AM$67</definedName>
    <definedName name="_PN3_364">KALKULATOR!$AN$67</definedName>
    <definedName name="_PN3_365" localSheetId="1">#REF!</definedName>
    <definedName name="_PN3_365" localSheetId="2">[1]OTEX!$AM$68</definedName>
    <definedName name="_PN3_365">KALKULATOR!$AN$68</definedName>
    <definedName name="_PN3_370" localSheetId="1">#REF!</definedName>
    <definedName name="_PN3_370" localSheetId="2">[1]OTEX!$AM$69</definedName>
    <definedName name="_PN3_370">KALKULATOR!$AN$69</definedName>
    <definedName name="_PN3_380" localSheetId="1">#REF!</definedName>
    <definedName name="_PN3_380" localSheetId="2">[1]OTEX!$AM$70</definedName>
    <definedName name="_PN3_380">KALKULATOR!$AN$70</definedName>
    <definedName name="_PN3_450" localSheetId="1">#REF!</definedName>
    <definedName name="_PN3_450" localSheetId="2">[1]OTEX!$AM$71</definedName>
    <definedName name="_PN3_450">KALKULATOR!$AN$71</definedName>
    <definedName name="_PN3_460" localSheetId="1">#REF!</definedName>
    <definedName name="_PN3_460" localSheetId="2">[1]OTEX!$AM$72</definedName>
    <definedName name="_PN3_460">KALKULATOR!$AN$72</definedName>
    <definedName name="_PN3_470" localSheetId="1">#REF!</definedName>
    <definedName name="_PN3_470" localSheetId="2">[1]OTEX!$AM$73</definedName>
    <definedName name="_PN3_470">KALKULATOR!$AN$73</definedName>
    <definedName name="_PN3_481" localSheetId="1">#REF!</definedName>
    <definedName name="_PN3_481" localSheetId="2">[1]OTEX!$AM$74</definedName>
    <definedName name="_PN3_481">KALKULATOR!$AN$74</definedName>
    <definedName name="_PN3_482" localSheetId="1">#REF!</definedName>
    <definedName name="_PN3_482" localSheetId="2">[1]OTEX!$AM$75</definedName>
    <definedName name="_PN3_482">KALKULATOR!$AN$75</definedName>
    <definedName name="_PN3_483" localSheetId="1">#REF!</definedName>
    <definedName name="_PN3_483" localSheetId="2">[1]OTEX!$AM$76</definedName>
    <definedName name="_PN3_483">KALKULATOR!$AN$76</definedName>
    <definedName name="_PN3_484" localSheetId="1">#REF!</definedName>
    <definedName name="_PN3_484" localSheetId="2">[1]OTEX!$AM$77</definedName>
    <definedName name="_PN3_484">KALKULATOR!$AN$77</definedName>
    <definedName name="_PN3_511" localSheetId="1">#REF!</definedName>
    <definedName name="_PN3_511" localSheetId="2">[1]OTEX!$AM$78</definedName>
    <definedName name="_PN3_511">KALKULATOR!$AN$78</definedName>
    <definedName name="_PN3_512" localSheetId="1">#REF!</definedName>
    <definedName name="_PN3_512" localSheetId="2">[1]OTEX!$AM$79</definedName>
    <definedName name="_PN3_512">KALKULATOR!$AN$79</definedName>
    <definedName name="_PN3_513" localSheetId="1">#REF!</definedName>
    <definedName name="_PN3_513" localSheetId="2">[1]OTEX!$AM$80</definedName>
    <definedName name="_PN3_513">KALKULATOR!$AN$80</definedName>
    <definedName name="_PN3_521" localSheetId="1">#REF!</definedName>
    <definedName name="_PN3_521" localSheetId="2">[1]OTEX!$AM$81</definedName>
    <definedName name="_PN3_521">KALKULATOR!$AN$81</definedName>
    <definedName name="_PN3_522" localSheetId="1">#REF!</definedName>
    <definedName name="_PN3_522" localSheetId="2">[1]OTEX!$AM$82</definedName>
    <definedName name="_PN3_522">KALKULATOR!$AN$82</definedName>
    <definedName name="_PN3_523" localSheetId="1">#REF!</definedName>
    <definedName name="_PN3_523" localSheetId="2">[1]OTEX!$AM$83</definedName>
    <definedName name="_PN3_523">KALKULATOR!$AN$83</definedName>
    <definedName name="_PN3_530" localSheetId="1">#REF!</definedName>
    <definedName name="_PN3_530" localSheetId="2">[1]OTEX!$AM$84</definedName>
    <definedName name="_PN3_530">KALKULATOR!$AN$84</definedName>
    <definedName name="_PN3_611" localSheetId="1">#REF!</definedName>
    <definedName name="_PN3_611" localSheetId="2">[1]OTEX!$AM$85</definedName>
    <definedName name="_PN3_611">KALKULATOR!$AN$85</definedName>
    <definedName name="_PN3_612" localSheetId="1">#REF!</definedName>
    <definedName name="_PN3_612" localSheetId="2">[1]OTEX!$AM$86</definedName>
    <definedName name="_PN3_612">KALKULATOR!$AN$86</definedName>
    <definedName name="_PN3_613" localSheetId="1">#REF!</definedName>
    <definedName name="_PN3_613" localSheetId="2">[1]OTEX!$AM$87</definedName>
    <definedName name="_PN3_613">KALKULATOR!$AN$87</definedName>
    <definedName name="_PN3_614" localSheetId="1">#REF!</definedName>
    <definedName name="_PN3_614" localSheetId="2">[1]OTEX!$AM$88</definedName>
    <definedName name="_PN3_614">KALKULATOR!$AN$88</definedName>
    <definedName name="_PN3_615" localSheetId="1">#REF!</definedName>
    <definedName name="_PN3_615" localSheetId="2">[1]OTEX!$AM$89</definedName>
    <definedName name="_PN3_615">KALKULATOR!$AN$89</definedName>
    <definedName name="_PN3_616" localSheetId="1">#REF!</definedName>
    <definedName name="_PN3_616" localSheetId="2">[1]OTEX!$AM$90</definedName>
    <definedName name="_PN3_616">KALKULATOR!$AN$90</definedName>
    <definedName name="_PN3_731" localSheetId="1">#REF!</definedName>
    <definedName name="_PN3_731" localSheetId="2">[1]OTEX!$AM$91</definedName>
    <definedName name="_PN3_731">KALKULATOR!$AN$91</definedName>
    <definedName name="_PN3_732" localSheetId="1">#REF!</definedName>
    <definedName name="_PN3_732" localSheetId="2">[1]OTEX!$AM$92</definedName>
    <definedName name="_PN3_732">KALKULATOR!$AN$92</definedName>
    <definedName name="_PN3_741" localSheetId="1">#REF!</definedName>
    <definedName name="_PN3_741" localSheetId="2">[1]OTEX!$AM$93</definedName>
    <definedName name="_PN3_741">KALKULATOR!$AN$93</definedName>
    <definedName name="_PN3_742" localSheetId="1">#REF!</definedName>
    <definedName name="_PN3_742" localSheetId="2">[1]OTEX!$AM$94</definedName>
    <definedName name="_PN3_742">KALKULATOR!$AN$94</definedName>
    <definedName name="_PN3_831" localSheetId="1">#REF!</definedName>
    <definedName name="_PN3_831" localSheetId="2">[1]OTEX!$AM$95</definedName>
    <definedName name="_PN3_831">KALKULATOR!$AN$95</definedName>
    <definedName name="_PN3_832" localSheetId="1">#REF!</definedName>
    <definedName name="_PN3_832" localSheetId="2">[1]OTEX!$AM$96</definedName>
    <definedName name="_PN3_832">KALKULATOR!$AN$96</definedName>
    <definedName name="_PN3_833" localSheetId="1">#REF!</definedName>
    <definedName name="_PN3_833" localSheetId="2">[1]OTEX!$AM$97</definedName>
    <definedName name="_PN3_833">KALKULATOR!$AN$97</definedName>
    <definedName name="_PN3_834" localSheetId="1">#REF!</definedName>
    <definedName name="_PN3_834" localSheetId="2">[1]OTEX!$AM$98</definedName>
    <definedName name="_PN3_834">KALKULATOR!$AN$98</definedName>
    <definedName name="_PN3_841" localSheetId="1">#REF!</definedName>
    <definedName name="_PN3_841" localSheetId="2">[1]OTEX!$AM$99</definedName>
    <definedName name="_PN3_841">KALKULATOR!$AN$99</definedName>
    <definedName name="_PN3_842" localSheetId="1">#REF!</definedName>
    <definedName name="_PN3_842" localSheetId="2">[1]OTEX!$AM$100</definedName>
    <definedName name="_PN3_842">KALKULATOR!$AN$100</definedName>
    <definedName name="_PN3_843" localSheetId="1">#REF!</definedName>
    <definedName name="_PN3_843" localSheetId="2">[1]OTEX!$AM$101</definedName>
    <definedName name="_PN3_843">KALKULATOR!$AN$101</definedName>
    <definedName name="_PN3_844" localSheetId="1">#REF!</definedName>
    <definedName name="_PN3_844" localSheetId="2">[1]OTEX!$AM$102</definedName>
    <definedName name="_PN3_844">KALKULATOR!$AN$102</definedName>
    <definedName name="_PNF13" localSheetId="1">#REF!</definedName>
    <definedName name="_PNF13" localSheetId="2">[1]OTEX!$AP$41:$AU$48</definedName>
    <definedName name="_PNF13">KALKULATOR!$AQ$41:$AV$48</definedName>
    <definedName name="_TYPE13" localSheetId="1">#REF!</definedName>
    <definedName name="_TYPE13" localSheetId="2">[1]OTEX!$AS$37</definedName>
    <definedName name="_TYPE13">KALKULATOR!$AT$37</definedName>
    <definedName name="_TYPENAME13">KALKULATOR!$AT$38</definedName>
    <definedName name="CT_Farm_PN1">KALKULATOR!$AE$37</definedName>
    <definedName name="CT_Farm_PN2" localSheetId="1">#REF!</definedName>
    <definedName name="CT_Farm_PN2" localSheetId="2">[1]OTEX!$AD$53</definedName>
    <definedName name="CT_Farm_PN2">KALKULATOR!$AE$53</definedName>
    <definedName name="CT_Farm_PN3" localSheetId="1">#REF!</definedName>
    <definedName name="CT_Farm_PN3" localSheetId="2">[1]OTEX!$AL$37</definedName>
    <definedName name="CT_Farm_PN3">KALKULATOR!$AM$37</definedName>
    <definedName name="d">KALKULATOR!$AN$65</definedName>
    <definedName name="ES_14" localSheetId="1">#REF!</definedName>
    <definedName name="ES_14" localSheetId="2">[1]OTEX!$AA$90:$AF$103</definedName>
    <definedName name="ES_14">KALKULATOR!$AB$90:$AG$103</definedName>
    <definedName name="ES_5" localSheetId="1">#REF!</definedName>
    <definedName name="ES_5" localSheetId="2">[1]OTEX!$AA$131:$AF$135</definedName>
    <definedName name="ES_5">KALKULATOR!$AB$131:$AG$135</definedName>
    <definedName name="ES_6" localSheetId="1">#REF!</definedName>
    <definedName name="ES_6" localSheetId="2">[1]OTEX!$AA$119:$AF$124</definedName>
    <definedName name="ES_6">KALKULATOR!$AB$119:$AG$124</definedName>
    <definedName name="ES_9" localSheetId="1">#REF!</definedName>
    <definedName name="ES_9" localSheetId="2">[1]OTEX!$AA$107:$AF$115</definedName>
    <definedName name="ES_9">KALKULATOR!$AB$107:$AG$115</definedName>
    <definedName name="ES14_1" localSheetId="1">#REF!</definedName>
    <definedName name="ES14_1" localSheetId="2">[1]OTEX!$AF$90</definedName>
    <definedName name="ES14_1">KALKULATOR!$AG$90</definedName>
    <definedName name="ES14_10" localSheetId="1">#REF!</definedName>
    <definedName name="ES14_10" localSheetId="2">[1]OTEX!$AF$99</definedName>
    <definedName name="ES14_10">KALKULATOR!$AG$99</definedName>
    <definedName name="ES14_11" localSheetId="1">#REF!</definedName>
    <definedName name="ES14_11" localSheetId="2">[1]OTEX!$AF$100</definedName>
    <definedName name="ES14_11">KALKULATOR!$AG$100</definedName>
    <definedName name="ES14_12" localSheetId="1">#REF!</definedName>
    <definedName name="ES14_12" localSheetId="2">[1]OTEX!$AF$101</definedName>
    <definedName name="ES14_12">KALKULATOR!$AG$101</definedName>
    <definedName name="ES14_13" localSheetId="1">#REF!</definedName>
    <definedName name="ES14_13" localSheetId="2">[1]OTEX!$AF$102</definedName>
    <definedName name="ES14_13">KALKULATOR!$AG$102</definedName>
    <definedName name="ES14_14" localSheetId="1">#REF!</definedName>
    <definedName name="ES14_14" localSheetId="2">[1]OTEX!$AF$103</definedName>
    <definedName name="ES14_14">KALKULATOR!$AG$103</definedName>
    <definedName name="ES14_2" localSheetId="1">#REF!</definedName>
    <definedName name="ES14_2" localSheetId="2">[1]OTEX!$AF$91</definedName>
    <definedName name="ES14_2">KALKULATOR!$AG$91</definedName>
    <definedName name="ES14_3" localSheetId="1">#REF!</definedName>
    <definedName name="ES14_3" localSheetId="2">[1]OTEX!$AF$92</definedName>
    <definedName name="ES14_3">KALKULATOR!$AG$92</definedName>
    <definedName name="ES14_4" localSheetId="1">#REF!</definedName>
    <definedName name="ES14_4" localSheetId="2">[1]OTEX!$AF$93</definedName>
    <definedName name="ES14_4">KALKULATOR!$AG$93</definedName>
    <definedName name="ES14_5" localSheetId="1">#REF!</definedName>
    <definedName name="ES14_5" localSheetId="2">[1]OTEX!$AF$94</definedName>
    <definedName name="ES14_5">KALKULATOR!$AG$94</definedName>
    <definedName name="ES14_6" localSheetId="1">#REF!</definedName>
    <definedName name="ES14_6" localSheetId="2">[1]OTEX!$AF$95</definedName>
    <definedName name="ES14_6">KALKULATOR!$AG$95</definedName>
    <definedName name="ES14_7" localSheetId="1">#REF!</definedName>
    <definedName name="ES14_7" localSheetId="2">[1]OTEX!$AF$96</definedName>
    <definedName name="ES14_7">KALKULATOR!$AG$96</definedName>
    <definedName name="ES14_8" localSheetId="1">#REF!</definedName>
    <definedName name="ES14_8" localSheetId="2">[1]OTEX!$AF$97</definedName>
    <definedName name="ES14_8">KALKULATOR!$AG$97</definedName>
    <definedName name="ES14_9" localSheetId="1">#REF!</definedName>
    <definedName name="ES14_9" localSheetId="2">[1]OTEX!$AF$98</definedName>
    <definedName name="ES14_9">KALKULATOR!$AG$98</definedName>
    <definedName name="ES6_1" localSheetId="1">#REF!</definedName>
    <definedName name="ES6_1" localSheetId="2">[1]OTEX!$AF$119</definedName>
    <definedName name="ES6_1">KALKULATOR!$AG$119</definedName>
    <definedName name="ES6_2" localSheetId="1">#REF!</definedName>
    <definedName name="ES6_2" localSheetId="2">[1]OTEX!$AF$120</definedName>
    <definedName name="ES6_2">KALKULATOR!$AG$120</definedName>
    <definedName name="ES6_3" localSheetId="1">#REF!</definedName>
    <definedName name="ES6_3" localSheetId="2">[1]OTEX!$AF$121</definedName>
    <definedName name="ES6_3">KALKULATOR!$AG$121</definedName>
    <definedName name="ES6_4" localSheetId="1">#REF!</definedName>
    <definedName name="ES6_4" localSheetId="2">[1]OTEX!$AF$122</definedName>
    <definedName name="ES6_4">KALKULATOR!$AG$122</definedName>
    <definedName name="ES6_5" localSheetId="1">#REF!</definedName>
    <definedName name="ES6_5" localSheetId="2">[1]OTEX!$AF$123</definedName>
    <definedName name="ES6_5">KALKULATOR!$AG$123</definedName>
    <definedName name="ES6_6" localSheetId="1">#REF!</definedName>
    <definedName name="ES6_6" localSheetId="2">[1]OTEX!$AF$124</definedName>
    <definedName name="ES6_6">KALKULATOR!$AG$124</definedName>
    <definedName name="ES9_1" localSheetId="1">#REF!</definedName>
    <definedName name="ES9_1" localSheetId="2">[1]OTEX!$AF$107</definedName>
    <definedName name="ES9_1">KALKULATOR!$AG$107</definedName>
    <definedName name="ES9_2" localSheetId="1">#REF!</definedName>
    <definedName name="ES9_2" localSheetId="2">[1]OTEX!$AF$108</definedName>
    <definedName name="ES9_2">KALKULATOR!$AG$108</definedName>
    <definedName name="ES9_3" localSheetId="1">#REF!</definedName>
    <definedName name="ES9_3" localSheetId="2">[1]OTEX!$AF$109</definedName>
    <definedName name="ES9_3">KALKULATOR!$AG$109</definedName>
    <definedName name="ES9_4" localSheetId="1">#REF!</definedName>
    <definedName name="ES9_4" localSheetId="2">[1]OTEX!$AF$110</definedName>
    <definedName name="ES9_4">KALKULATOR!$AG$110</definedName>
    <definedName name="ES9_5" localSheetId="1">#REF!</definedName>
    <definedName name="ES9_5" localSheetId="2">[1]OTEX!$AF$111</definedName>
    <definedName name="ES9_5">KALKULATOR!$AG$111</definedName>
    <definedName name="ES9_6" localSheetId="1">#REF!</definedName>
    <definedName name="ES9_6" localSheetId="2">[1]OTEX!$AF$112</definedName>
    <definedName name="ES9_6">KALKULATOR!$AG$112</definedName>
    <definedName name="ES9_7" localSheetId="1">#REF!</definedName>
    <definedName name="ES9_7" localSheetId="2">[1]OTEX!$AF$113</definedName>
    <definedName name="ES9_7">KALKULATOR!$AG$113</definedName>
    <definedName name="ES9_8" localSheetId="1">#REF!</definedName>
    <definedName name="ES9_8" localSheetId="2">[1]OTEX!$AF$114</definedName>
    <definedName name="ES9_8">KALKULATOR!$AG$114</definedName>
    <definedName name="ES9_9" localSheetId="1">#REF!</definedName>
    <definedName name="ES9_9" localSheetId="2">[1]OTEX!$AF$115</definedName>
    <definedName name="ES9_9">KALKULATOR!$AG$115</definedName>
    <definedName name="grla">KALKULATOR!$V$46</definedName>
    <definedName name="hektari">KALKULATOR!$V$41</definedName>
    <definedName name="kljun">KALKULATOR!$V$49</definedName>
    <definedName name="kw">KALKULATOR!$AX$3</definedName>
    <definedName name="Langue" localSheetId="1">#REF!</definedName>
    <definedName name="Langue" localSheetId="2">[1]OTEX!$A$1</definedName>
    <definedName name="Langue">KALKULATOR!$A$1</definedName>
    <definedName name="LT_Farm_PN1">KALKULATOR!$AE$38</definedName>
    <definedName name="LT_Farm_PN2">KALKULATOR!$AE$54</definedName>
    <definedName name="LT_Farm_PN3">KALKULATOR!$AM$38</definedName>
    <definedName name="pcele">KALKULATOR!$V$52</definedName>
    <definedName name="PN1_1" localSheetId="1">#REF!</definedName>
    <definedName name="PN1_1" localSheetId="2">[1]OTEX!$AF$41</definedName>
    <definedName name="PN1_1">KALKULATOR!$AG$41</definedName>
    <definedName name="PN1_2" localSheetId="1">#REF!</definedName>
    <definedName name="PN1_2" localSheetId="2">[1]OTEX!$AF$42</definedName>
    <definedName name="PN1_2">KALKULATOR!$AG$42</definedName>
    <definedName name="PN1_3" localSheetId="1">#REF!</definedName>
    <definedName name="PN1_3" localSheetId="2">[1]OTEX!$AF$43</definedName>
    <definedName name="PN1_3">KALKULATOR!$AG$43</definedName>
    <definedName name="PN1_4" localSheetId="1">#REF!</definedName>
    <definedName name="PN1_4" localSheetId="2">[1]OTEX!$AF$44</definedName>
    <definedName name="PN1_4">KALKULATOR!$AG$44</definedName>
    <definedName name="PN1_5" localSheetId="1">#REF!</definedName>
    <definedName name="PN1_5" localSheetId="2">[1]OTEX!$AF$45</definedName>
    <definedName name="PN1_5">KALKULATOR!$AG$45</definedName>
    <definedName name="PN1_6" localSheetId="1">#REF!</definedName>
    <definedName name="PN1_6" localSheetId="2">[1]OTEX!$AF$46</definedName>
    <definedName name="PN1_6">KALKULATOR!$AG$46</definedName>
    <definedName name="PN1_7" localSheetId="1">#REF!</definedName>
    <definedName name="PN1_7" localSheetId="2">[1]OTEX!$AF$47</definedName>
    <definedName name="PN1_7">KALKULATOR!$AG$47</definedName>
    <definedName name="PN1_8" localSheetId="1">#REF!</definedName>
    <definedName name="PN1_8" localSheetId="2">[1]OTEX!$AF$48</definedName>
    <definedName name="PN1_8">KALKULATOR!$AG$48</definedName>
    <definedName name="PN1_9" localSheetId="1">#REF!</definedName>
    <definedName name="PN1_9" localSheetId="2">[1]OTEX!$AF$49</definedName>
    <definedName name="PN1_9">KALKULATOR!$AG$49</definedName>
    <definedName name="PN2_15" localSheetId="1">#REF!</definedName>
    <definedName name="PN2_15" localSheetId="2">[1]OTEX!$AF$56</definedName>
    <definedName name="PN2_15">KALKULATOR!$AG$56</definedName>
    <definedName name="PN2_16" localSheetId="1">#REF!</definedName>
    <definedName name="PN2_16" localSheetId="2">[1]OTEX!$AF$57</definedName>
    <definedName name="PN2_16">KALKULATOR!$AG$57</definedName>
    <definedName name="PN2_21" localSheetId="1">#REF!</definedName>
    <definedName name="PN2_21" localSheetId="2">[1]OTEX!$AF$58</definedName>
    <definedName name="PN2_21">KALKULATOR!$AG$58</definedName>
    <definedName name="PN2_22" localSheetId="1">#REF!</definedName>
    <definedName name="PN2_22" localSheetId="2">[1]OTEX!$AF$59</definedName>
    <definedName name="PN2_22">KALKULATOR!$AG$59</definedName>
    <definedName name="PN2_23" localSheetId="1">#REF!</definedName>
    <definedName name="PN2_23" localSheetId="2">[1]OTEX!$AF$60</definedName>
    <definedName name="PN2_23">KALKULATOR!$AG$60</definedName>
    <definedName name="PN2_35" localSheetId="1">#REF!</definedName>
    <definedName name="PN2_35" localSheetId="2">[1]OTEX!$AF$61</definedName>
    <definedName name="PN2_35">KALKULATOR!$AG$61</definedName>
    <definedName name="PN2_36" localSheetId="1">#REF!</definedName>
    <definedName name="PN2_36" localSheetId="2">[1]OTEX!$AF$62</definedName>
    <definedName name="PN2_36">KALKULATOR!$AG$62</definedName>
    <definedName name="PN2_37" localSheetId="1">#REF!</definedName>
    <definedName name="PN2_37" localSheetId="2">[1]OTEX!$AF$63</definedName>
    <definedName name="PN2_37">KALKULATOR!$AG$63</definedName>
    <definedName name="PN2_38" localSheetId="1">#REF!</definedName>
    <definedName name="PN2_38" localSheetId="2">[1]OTEX!$AF$64</definedName>
    <definedName name="PN2_38">KALKULATOR!$AG$64</definedName>
    <definedName name="PN2_45" localSheetId="1">#REF!</definedName>
    <definedName name="PN2_45" localSheetId="2">[1]OTEX!$AF$65</definedName>
    <definedName name="PN2_45">KALKULATOR!$AG$65</definedName>
    <definedName name="PN2_46" localSheetId="1">#REF!</definedName>
    <definedName name="PN2_46" localSheetId="2">[1]OTEX!$AF$66</definedName>
    <definedName name="PN2_46">KALKULATOR!$AG$66</definedName>
    <definedName name="PN2_47" localSheetId="1">#REF!</definedName>
    <definedName name="PN2_47" localSheetId="2">[1]OTEX!$AF$67</definedName>
    <definedName name="PN2_47">KALKULATOR!$AG$67</definedName>
    <definedName name="PN2_48" localSheetId="1">#REF!</definedName>
    <definedName name="PN2_48" localSheetId="2">[1]OTEX!$AF$68</definedName>
    <definedName name="PN2_48">KALKULATOR!$AG$68</definedName>
    <definedName name="PN2_51" localSheetId="1">#REF!</definedName>
    <definedName name="PN2_51" localSheetId="2">[1]OTEX!$AF$69</definedName>
    <definedName name="PN2_51">KALKULATOR!$AG$69</definedName>
    <definedName name="PN2_52" localSheetId="1">#REF!</definedName>
    <definedName name="PN2_52" localSheetId="2">[1]OTEX!$AF$70</definedName>
    <definedName name="PN2_52">KALKULATOR!$AG$70</definedName>
    <definedName name="PN2_53" localSheetId="1">#REF!</definedName>
    <definedName name="PN2_53" localSheetId="2">[1]OTEX!$AF$71</definedName>
    <definedName name="PN2_53">KALKULATOR!$AG$71</definedName>
    <definedName name="PN2_61" localSheetId="1">#REF!</definedName>
    <definedName name="PN2_61" localSheetId="2">[1]OTEX!$AF$72</definedName>
    <definedName name="PN2_61">KALKULATOR!$AG$72</definedName>
    <definedName name="PN2_73" localSheetId="1">#REF!</definedName>
    <definedName name="PN2_73" localSheetId="2">[1]OTEX!$AF$73</definedName>
    <definedName name="PN2_73">KALKULATOR!$AG$73</definedName>
    <definedName name="PN2_74" localSheetId="1">#REF!</definedName>
    <definedName name="PN2_74" localSheetId="2">[1]OTEX!$AF$74</definedName>
    <definedName name="PN2_74">KALKULATOR!$AG$74</definedName>
    <definedName name="PN2_83" localSheetId="1">#REF!</definedName>
    <definedName name="PN2_83" localSheetId="2">[1]OTEX!$AF$75</definedName>
    <definedName name="PN2_83">KALKULATOR!$AG$75</definedName>
    <definedName name="PN2_84" localSheetId="1">#REF!</definedName>
    <definedName name="PN2_84" localSheetId="2">[1]OTEX!$AF$76</definedName>
    <definedName name="PN2_84">KALKULATOR!$AG$76</definedName>
    <definedName name="PN2_90" localSheetId="1">#REF!</definedName>
    <definedName name="PN2_90" localSheetId="2">[1]OTEX!$AF$77</definedName>
    <definedName name="PN2_90">KALKULATOR!$AG$77</definedName>
    <definedName name="PN3_151" localSheetId="1">#REF!</definedName>
    <definedName name="PN3_151" localSheetId="2">[1]OTEX!$AM$42</definedName>
    <definedName name="PN3_151">KALKULATOR!$AN$42</definedName>
    <definedName name="PN3_152" localSheetId="1">#REF!</definedName>
    <definedName name="PN3_152" localSheetId="2">[1]OTEX!$AM$43</definedName>
    <definedName name="PN3_152">KALKULATOR!$AN$43</definedName>
    <definedName name="PN3_153" localSheetId="1">#REF!</definedName>
    <definedName name="PN3_153" localSheetId="2">[1]OTEX!$AM$44</definedName>
    <definedName name="PN3_153">KALKULATOR!$AN$44</definedName>
    <definedName name="PN3_900" localSheetId="1">#REF!</definedName>
    <definedName name="PN3_900" localSheetId="2">[1]OTEX!$AM$103</definedName>
    <definedName name="PN3_900">KALKULATOR!$AN$103</definedName>
    <definedName name="_xlnm.Print_Area" localSheetId="4">CoefVeg!$A$1:$L$53</definedName>
    <definedName name="_xlnm.Print_Area" localSheetId="2">IZRAČUN!$A$1:$D$42</definedName>
    <definedName name="_xlnm.Print_Area" localSheetId="0">KALKULATOR!$A$1:$Z$75</definedName>
    <definedName name="Regija" localSheetId="1">#REF!</definedName>
    <definedName name="Regija" localSheetId="2">[1]OTEX!$C$2</definedName>
    <definedName name="Regija">KALKULATOR!$C$2</definedName>
    <definedName name="tip">KALKULATOR!$E$3</definedName>
    <definedName name="traktor">KALKULATOR!$AO$2</definedName>
    <definedName name="TSO" localSheetId="1">#REF!</definedName>
    <definedName name="TSO" localSheetId="2">[1]OTEX!$AB$31</definedName>
    <definedName name="TSO">KALKULATOR!$AC$31</definedName>
    <definedName name="tx" localSheetId="1">#REF!</definedName>
    <definedName name="tx" localSheetId="2">[1]OTEX!$A$3</definedName>
    <definedName name="tx">KALKULATOR!$A$3</definedName>
  </definedNames>
  <calcPr calcId="162913"/>
</workbook>
</file>

<file path=xl/calcChain.xml><?xml version="1.0" encoding="utf-8"?>
<calcChain xmlns="http://schemas.openxmlformats.org/spreadsheetml/2006/main">
  <c r="V41" i="1" l="1"/>
  <c r="B55" i="2"/>
  <c r="B36" i="1" s="1"/>
  <c r="B56" i="2"/>
  <c r="L43" i="1"/>
  <c r="L63" i="1"/>
  <c r="L62" i="1"/>
  <c r="L58" i="1"/>
  <c r="L57" i="1"/>
  <c r="L53" i="1"/>
  <c r="L52" i="1"/>
  <c r="L51" i="1"/>
  <c r="L50" i="1"/>
  <c r="L49" i="1"/>
  <c r="L48" i="1"/>
  <c r="L47" i="1"/>
  <c r="O64" i="1"/>
  <c r="O52" i="1"/>
  <c r="O51" i="1"/>
  <c r="O50" i="1"/>
  <c r="O46" i="1"/>
  <c r="O45" i="1"/>
  <c r="O44" i="1"/>
  <c r="O43" i="1"/>
  <c r="A3" i="1"/>
  <c r="V46" i="1"/>
  <c r="B19" i="2"/>
  <c r="B35" i="1" s="1"/>
  <c r="C38" i="22"/>
  <c r="C36" i="22"/>
  <c r="C17" i="22"/>
  <c r="C15" i="22"/>
  <c r="C13" i="22"/>
  <c r="C11" i="22"/>
  <c r="C9" i="22"/>
  <c r="J37" i="1"/>
  <c r="B37" i="1"/>
  <c r="C17" i="19"/>
  <c r="C15" i="19"/>
  <c r="C13" i="19"/>
  <c r="C11" i="19"/>
  <c r="C9" i="19"/>
  <c r="AH42" i="1"/>
  <c r="F26" i="2"/>
  <c r="M64" i="1"/>
  <c r="B54" i="2"/>
  <c r="U33" i="1"/>
  <c r="F25" i="2"/>
  <c r="M60" i="1"/>
  <c r="P1" i="1"/>
  <c r="N41" i="11"/>
  <c r="AI67" i="1"/>
  <c r="AI49" i="1"/>
  <c r="AI43" i="1"/>
  <c r="AO72" i="1"/>
  <c r="AW46" i="1"/>
  <c r="AW42" i="1"/>
  <c r="AW41" i="1"/>
  <c r="V52" i="1"/>
  <c r="V49" i="1"/>
  <c r="B50" i="2"/>
  <c r="U23" i="1"/>
  <c r="B51" i="2"/>
  <c r="U24" i="1"/>
  <c r="B52" i="2"/>
  <c r="U28" i="1"/>
  <c r="B53" i="2"/>
  <c r="U29" i="1"/>
  <c r="B49" i="2"/>
  <c r="U22" i="1"/>
  <c r="F6" i="2"/>
  <c r="B47" i="1"/>
  <c r="F7" i="2"/>
  <c r="B48" i="1"/>
  <c r="F8" i="2"/>
  <c r="B49" i="1" s="1"/>
  <c r="F9" i="2"/>
  <c r="B50" i="1"/>
  <c r="F10" i="2"/>
  <c r="B51" i="1" s="1"/>
  <c r="F11" i="2"/>
  <c r="B52" i="1"/>
  <c r="F12" i="2"/>
  <c r="B53" i="1" s="1"/>
  <c r="F13" i="2"/>
  <c r="B57" i="1"/>
  <c r="F14" i="2"/>
  <c r="B58" i="1" s="1"/>
  <c r="F15" i="2"/>
  <c r="B62" i="1"/>
  <c r="F16" i="2"/>
  <c r="B63" i="1" s="1"/>
  <c r="F17" i="2"/>
  <c r="M43" i="1"/>
  <c r="F18" i="2"/>
  <c r="M44" i="1" s="1"/>
  <c r="F19" i="2"/>
  <c r="F20" i="2"/>
  <c r="M45" i="1" s="1"/>
  <c r="F21" i="2"/>
  <c r="M50" i="1"/>
  <c r="F22" i="2"/>
  <c r="M51" i="1" s="1"/>
  <c r="F23" i="2"/>
  <c r="M52" i="1"/>
  <c r="F24" i="2"/>
  <c r="M56" i="1" s="1"/>
  <c r="F5" i="2"/>
  <c r="B43" i="1"/>
  <c r="B6" i="2"/>
  <c r="B15" i="1" s="1"/>
  <c r="B7" i="2"/>
  <c r="B16" i="1"/>
  <c r="B8" i="2"/>
  <c r="B17" i="1" s="1"/>
  <c r="B9" i="2"/>
  <c r="B18" i="1"/>
  <c r="B10" i="2"/>
  <c r="B19" i="1" s="1"/>
  <c r="B11" i="2"/>
  <c r="B22" i="1"/>
  <c r="B12" i="2"/>
  <c r="B23" i="1" s="1"/>
  <c r="B13" i="2"/>
  <c r="B24" i="1"/>
  <c r="B14" i="2"/>
  <c r="B28" i="1" s="1"/>
  <c r="B15" i="2"/>
  <c r="B29" i="1"/>
  <c r="B16" i="2"/>
  <c r="B30" i="1" s="1"/>
  <c r="B17" i="2"/>
  <c r="B31" i="1"/>
  <c r="B18" i="2"/>
  <c r="B34" i="1" s="1"/>
  <c r="B20" i="2"/>
  <c r="M14" i="1"/>
  <c r="B21" i="2"/>
  <c r="M15" i="1" s="1"/>
  <c r="B22" i="2"/>
  <c r="M16" i="1"/>
  <c r="B23" i="2"/>
  <c r="M17" i="1" s="1"/>
  <c r="B24" i="2"/>
  <c r="M18" i="1"/>
  <c r="B25" i="2"/>
  <c r="M19" i="1" s="1"/>
  <c r="B26" i="2"/>
  <c r="M23" i="1"/>
  <c r="B27" i="2"/>
  <c r="M24" i="1" s="1"/>
  <c r="B28" i="2"/>
  <c r="M28" i="1"/>
  <c r="B29" i="2"/>
  <c r="M29" i="1" s="1"/>
  <c r="B30" i="2"/>
  <c r="M33" i="1"/>
  <c r="B31" i="2"/>
  <c r="M34" i="1" s="1"/>
  <c r="B32" i="2"/>
  <c r="M35" i="1"/>
  <c r="B33" i="2"/>
  <c r="B34" i="2"/>
  <c r="B35" i="2"/>
  <c r="U14" i="1"/>
  <c r="B36" i="2"/>
  <c r="B37" i="2"/>
  <c r="B38" i="2"/>
  <c r="B39" i="2"/>
  <c r="B40" i="2"/>
  <c r="B41" i="2"/>
  <c r="U15" i="1"/>
  <c r="B42" i="2"/>
  <c r="B43" i="2"/>
  <c r="B44" i="2"/>
  <c r="B45" i="2"/>
  <c r="B46" i="2"/>
  <c r="U16" i="1"/>
  <c r="B47" i="2"/>
  <c r="U17" i="1"/>
  <c r="B48" i="2"/>
  <c r="U18" i="1"/>
  <c r="B5" i="2"/>
  <c r="B14" i="1"/>
  <c r="B2" i="2"/>
  <c r="A2" i="1"/>
  <c r="A1" i="2"/>
  <c r="A2" i="2"/>
  <c r="AW48" i="1"/>
  <c r="AW47" i="1"/>
  <c r="AW45" i="1"/>
  <c r="AW44" i="1"/>
  <c r="AW43" i="1"/>
  <c r="AC81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87" i="1"/>
  <c r="AO86" i="1"/>
  <c r="AO85" i="1"/>
  <c r="AO84" i="1"/>
  <c r="AO83" i="1"/>
  <c r="AO82" i="1"/>
  <c r="AO81" i="1"/>
  <c r="AO80" i="1"/>
  <c r="AO79" i="1"/>
  <c r="AO78" i="1"/>
  <c r="AO77" i="1"/>
  <c r="AO76" i="1"/>
  <c r="AO75" i="1"/>
  <c r="AO74" i="1"/>
  <c r="AO73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45" i="1"/>
  <c r="AO46" i="1"/>
  <c r="AO47" i="1"/>
  <c r="AO48" i="1"/>
  <c r="AO49" i="1"/>
  <c r="AO50" i="1"/>
  <c r="AO103" i="1"/>
  <c r="AO43" i="1"/>
  <c r="AO44" i="1"/>
  <c r="AO42" i="1"/>
  <c r="AH56" i="1"/>
  <c r="AH76" i="1"/>
  <c r="AH77" i="1"/>
  <c r="AH73" i="1"/>
  <c r="AH64" i="1"/>
  <c r="AH57" i="1"/>
  <c r="AH41" i="1"/>
  <c r="AH43" i="1"/>
  <c r="AH44" i="1"/>
  <c r="AH45" i="1"/>
  <c r="AH46" i="1"/>
  <c r="AH47" i="1"/>
  <c r="AH48" i="1"/>
  <c r="AH49" i="1"/>
  <c r="AH58" i="1"/>
  <c r="AH59" i="1"/>
  <c r="AH60" i="1"/>
  <c r="AH61" i="1"/>
  <c r="AH62" i="1"/>
  <c r="AH63" i="1"/>
  <c r="AH65" i="1"/>
  <c r="AH66" i="1"/>
  <c r="AH67" i="1"/>
  <c r="AH68" i="1"/>
  <c r="AH69" i="1"/>
  <c r="AH70" i="1"/>
  <c r="AH71" i="1"/>
  <c r="AH72" i="1"/>
  <c r="AH74" i="1"/>
  <c r="AH75" i="1"/>
  <c r="K47" i="1"/>
  <c r="B68" i="1"/>
  <c r="C55" i="2"/>
  <c r="G23" i="2"/>
  <c r="G15" i="2"/>
  <c r="G18" i="2"/>
  <c r="G9" i="2"/>
  <c r="C48" i="2"/>
  <c r="C24" i="2"/>
  <c r="C32" i="2"/>
  <c r="C56" i="2"/>
  <c r="C53" i="2"/>
  <c r="C27" i="2"/>
  <c r="C5" i="2"/>
  <c r="C26" i="2"/>
  <c r="C1" i="2"/>
  <c r="C2" i="2"/>
  <c r="C37" i="2"/>
  <c r="C31" i="2"/>
  <c r="C20" i="2"/>
  <c r="G8" i="2"/>
  <c r="C39" i="2"/>
  <c r="G21" i="2"/>
  <c r="C38" i="2"/>
  <c r="G20" i="2"/>
  <c r="G22" i="2"/>
  <c r="G10" i="2"/>
  <c r="C41" i="2"/>
  <c r="G11" i="2"/>
  <c r="C28" i="2"/>
  <c r="C29" i="2"/>
  <c r="C42" i="2"/>
  <c r="C45" i="2"/>
  <c r="B67" i="1"/>
  <c r="C18" i="2"/>
  <c r="G19" i="2"/>
  <c r="C10" i="2"/>
  <c r="G17" i="2"/>
  <c r="C13" i="2"/>
  <c r="C49" i="2"/>
  <c r="C47" i="2"/>
  <c r="C19" i="2"/>
  <c r="C25" i="2"/>
  <c r="C52" i="2"/>
  <c r="W57" i="1" l="1"/>
  <c r="V55" i="1" s="1"/>
  <c r="C25" i="22" s="1"/>
  <c r="X29" i="1"/>
  <c r="Y29" i="1" s="1"/>
  <c r="X28" i="1"/>
  <c r="Y28" i="1" s="1"/>
  <c r="Q23" i="1"/>
  <c r="R23" i="1" s="1"/>
  <c r="I37" i="1"/>
  <c r="Q19" i="1"/>
  <c r="R19" i="1" s="1"/>
  <c r="I14" i="1"/>
  <c r="J14" i="1" s="1"/>
  <c r="Q35" i="1"/>
  <c r="R35" i="1" s="1"/>
  <c r="Q29" i="1"/>
  <c r="R29" i="1" s="1"/>
  <c r="I35" i="1"/>
  <c r="J35" i="1" s="1"/>
  <c r="Q18" i="1"/>
  <c r="R18" i="1" s="1"/>
  <c r="Q28" i="1"/>
  <c r="R28" i="1" s="1"/>
  <c r="X17" i="1"/>
  <c r="Y17" i="1" s="1"/>
  <c r="Q24" i="1"/>
  <c r="R24" i="1" s="1"/>
  <c r="X18" i="1"/>
  <c r="Y18" i="1" s="1"/>
  <c r="I52" i="1"/>
  <c r="J52" i="1" s="1"/>
  <c r="X22" i="1"/>
  <c r="Y22" i="1" s="1"/>
  <c r="Q50" i="1"/>
  <c r="R50" i="1" s="1"/>
  <c r="I50" i="1"/>
  <c r="J50" i="1" s="1"/>
  <c r="X15" i="1"/>
  <c r="Y15" i="1" s="1"/>
  <c r="I24" i="1"/>
  <c r="J24" i="1" s="1"/>
  <c r="Q44" i="1"/>
  <c r="R44" i="1" s="1"/>
  <c r="I51" i="1"/>
  <c r="J51" i="1" s="1"/>
  <c r="Q43" i="1"/>
  <c r="R43" i="1" s="1"/>
  <c r="I49" i="1"/>
  <c r="J49" i="1" s="1"/>
  <c r="I62" i="1"/>
  <c r="J62" i="1" s="1"/>
  <c r="B4" i="1"/>
  <c r="I19" i="1"/>
  <c r="J19" i="1" s="1"/>
  <c r="Q14" i="1"/>
  <c r="R14" i="1" s="1"/>
  <c r="S14" i="1" s="1"/>
  <c r="Q52" i="1"/>
  <c r="R52" i="1" s="1"/>
  <c r="Q51" i="1"/>
  <c r="R51" i="1" s="1"/>
  <c r="Q34" i="1"/>
  <c r="R34" i="1" s="1"/>
  <c r="I36" i="1"/>
  <c r="J36" i="1" s="1"/>
  <c r="Q45" i="1"/>
  <c r="R45" i="1" s="1"/>
  <c r="S46" i="1" s="1"/>
  <c r="I34" i="1"/>
  <c r="J34" i="1" s="1"/>
  <c r="B69" i="1"/>
  <c r="B2" i="1"/>
  <c r="B70" i="1"/>
  <c r="C16" i="2"/>
  <c r="C6" i="2"/>
  <c r="C21" i="2"/>
  <c r="C12" i="2"/>
  <c r="C34" i="2"/>
  <c r="C43" i="2"/>
  <c r="C54" i="2"/>
  <c r="C51" i="2"/>
  <c r="G7" i="2"/>
  <c r="C14" i="2"/>
  <c r="G16" i="2"/>
  <c r="C17" i="2"/>
  <c r="C7" i="2"/>
  <c r="C9" i="2"/>
  <c r="C50" i="2"/>
  <c r="G5" i="2"/>
  <c r="G13" i="2"/>
  <c r="G24" i="2"/>
  <c r="C15" i="2"/>
  <c r="C40" i="2"/>
  <c r="C35" i="2"/>
  <c r="C23" i="2"/>
  <c r="G26" i="2"/>
  <c r="G14" i="2"/>
  <c r="G12" i="2"/>
  <c r="C11" i="2"/>
  <c r="C33" i="2"/>
  <c r="C44" i="2"/>
  <c r="C36" i="2"/>
  <c r="C46" i="2"/>
  <c r="C8" i="2"/>
  <c r="G25" i="2"/>
  <c r="G6" i="2"/>
  <c r="C30" i="2"/>
  <c r="C22" i="2"/>
  <c r="AC23" i="1" l="1"/>
  <c r="AC25" i="1"/>
  <c r="I48" i="1"/>
  <c r="J48" i="1" s="1"/>
  <c r="Q16" i="1"/>
  <c r="R16" i="1" s="1"/>
  <c r="Q17" i="1"/>
  <c r="R17" i="1" s="1"/>
  <c r="I57" i="1"/>
  <c r="J57" i="1" s="1"/>
  <c r="X24" i="1"/>
  <c r="Y24" i="1" s="1"/>
  <c r="Q33" i="1"/>
  <c r="R33" i="1" s="1"/>
  <c r="X14" i="1"/>
  <c r="Y14" i="1" s="1"/>
  <c r="AA15" i="1" s="1"/>
  <c r="AA14" i="1" s="1"/>
  <c r="I43" i="1"/>
  <c r="J43" i="1" s="1"/>
  <c r="X33" i="1"/>
  <c r="Y33" i="1" s="1"/>
  <c r="AC14" i="1" s="1"/>
  <c r="I47" i="1"/>
  <c r="J47" i="1" s="1"/>
  <c r="I22" i="1"/>
  <c r="J22" i="1" s="1"/>
  <c r="X23" i="1"/>
  <c r="Y23" i="1" s="1"/>
  <c r="Q60" i="1"/>
  <c r="R60" i="1" s="1"/>
  <c r="I18" i="1"/>
  <c r="J18" i="1" s="1"/>
  <c r="I17" i="1"/>
  <c r="J17" i="1" s="1"/>
  <c r="I29" i="1"/>
  <c r="J29" i="1" s="1"/>
  <c r="I16" i="1"/>
  <c r="J16" i="1" s="1"/>
  <c r="I23" i="1"/>
  <c r="J23" i="1" s="1"/>
  <c r="X16" i="1"/>
  <c r="Y16" i="1" s="1"/>
  <c r="I53" i="1"/>
  <c r="J53" i="1" s="1"/>
  <c r="I31" i="1"/>
  <c r="J31" i="1" s="1"/>
  <c r="Q15" i="1"/>
  <c r="R15" i="1" s="1"/>
  <c r="Q56" i="1"/>
  <c r="R56" i="1" s="1"/>
  <c r="I63" i="1"/>
  <c r="J63" i="1" s="1"/>
  <c r="K63" i="1" s="1"/>
  <c r="I15" i="1"/>
  <c r="J15" i="1" s="1"/>
  <c r="I58" i="1"/>
  <c r="J58" i="1" s="1"/>
  <c r="I28" i="1"/>
  <c r="J28" i="1" s="1"/>
  <c r="I30" i="1"/>
  <c r="J30" i="1" s="1"/>
  <c r="Q64" i="1"/>
  <c r="R64" i="1" s="1"/>
  <c r="AA31" i="1"/>
  <c r="AC26" i="1"/>
  <c r="AC18" i="1" l="1"/>
  <c r="AC24" i="1"/>
  <c r="AC27" i="1" s="1"/>
  <c r="AC20" i="1"/>
  <c r="AC19" i="1" s="1"/>
  <c r="AA25" i="1"/>
  <c r="K58" i="1"/>
  <c r="AC21" i="1"/>
  <c r="AA16" i="1"/>
  <c r="S17" i="1"/>
  <c r="S18" i="1" s="1"/>
  <c r="AC16" i="1" l="1"/>
  <c r="AC30" i="1"/>
  <c r="AC13" i="1" s="1"/>
  <c r="AC28" i="1"/>
  <c r="AC17" i="1" s="1"/>
  <c r="AC22" i="1"/>
  <c r="AC31" i="1" l="1"/>
  <c r="AG103" i="1" l="1"/>
  <c r="AB103" i="1" s="1"/>
  <c r="AG133" i="1"/>
  <c r="AB133" i="1" s="1"/>
  <c r="AG123" i="1"/>
  <c r="AB123" i="1" s="1"/>
  <c r="AG121" i="1"/>
  <c r="AB121" i="1" s="1"/>
  <c r="AG120" i="1"/>
  <c r="AB120" i="1" s="1"/>
  <c r="AC33" i="1"/>
  <c r="AC34" i="1" s="1"/>
  <c r="AG131" i="1"/>
  <c r="AB131" i="1" s="1"/>
  <c r="AG134" i="1"/>
  <c r="AB134" i="1" s="1"/>
  <c r="AG112" i="1"/>
  <c r="AB112" i="1" s="1"/>
  <c r="AG124" i="1"/>
  <c r="AB124" i="1" s="1"/>
  <c r="AG110" i="1"/>
  <c r="AB110" i="1" s="1"/>
  <c r="AG113" i="1"/>
  <c r="AB113" i="1" s="1"/>
  <c r="AG111" i="1"/>
  <c r="AB111" i="1" s="1"/>
  <c r="AG94" i="1"/>
  <c r="AB94" i="1" s="1"/>
  <c r="AG122" i="1"/>
  <c r="AB122" i="1" s="1"/>
  <c r="AG107" i="1"/>
  <c r="AB107" i="1" s="1"/>
  <c r="AG114" i="1"/>
  <c r="AB114" i="1" s="1"/>
  <c r="AG96" i="1"/>
  <c r="AB96" i="1" s="1"/>
  <c r="V60" i="1"/>
  <c r="C21" i="22" s="1"/>
  <c r="K5" i="1"/>
  <c r="AG92" i="1"/>
  <c r="AB92" i="1" s="1"/>
  <c r="V63" i="1"/>
  <c r="C23" i="22" s="1"/>
  <c r="AG98" i="1"/>
  <c r="AB98" i="1" s="1"/>
  <c r="AG102" i="1"/>
  <c r="AB102" i="1" s="1"/>
  <c r="AG91" i="1"/>
  <c r="AB91" i="1" s="1"/>
  <c r="AG95" i="1"/>
  <c r="AB95" i="1" s="1"/>
  <c r="AG90" i="1"/>
  <c r="AB90" i="1" s="1"/>
  <c r="AG108" i="1"/>
  <c r="AB108" i="1" s="1"/>
  <c r="K4" i="1"/>
  <c r="AG132" i="1"/>
  <c r="AB132" i="1" s="1"/>
  <c r="AG100" i="1"/>
  <c r="AB100" i="1" s="1"/>
  <c r="AG99" i="1"/>
  <c r="AB99" i="1" s="1"/>
  <c r="AG97" i="1"/>
  <c r="AB97" i="1" s="1"/>
  <c r="AG135" i="1"/>
  <c r="AB135" i="1" s="1"/>
  <c r="AG93" i="1"/>
  <c r="AB93" i="1" s="1"/>
  <c r="AG115" i="1"/>
  <c r="AB115" i="1" s="1"/>
  <c r="AG119" i="1"/>
  <c r="AB119" i="1" s="1"/>
  <c r="AG109" i="1"/>
  <c r="AB109" i="1" s="1"/>
  <c r="AG49" i="1"/>
  <c r="AG101" i="1"/>
  <c r="AB101" i="1" s="1"/>
  <c r="AG117" i="1" l="1"/>
  <c r="AG88" i="1"/>
  <c r="AG86" i="1" s="1"/>
  <c r="AB49" i="1"/>
  <c r="AG77" i="1"/>
  <c r="AG105" i="1"/>
  <c r="AG129" i="1"/>
  <c r="AG42" i="1"/>
  <c r="AG45" i="1"/>
  <c r="AG43" i="1"/>
  <c r="AG44" i="1"/>
  <c r="AG41" i="1"/>
  <c r="AG46" i="1"/>
  <c r="AG47" i="1"/>
  <c r="E5" i="1" l="1"/>
  <c r="H5" i="1" s="1"/>
  <c r="AG87" i="1"/>
  <c r="AG66" i="1"/>
  <c r="AB44" i="1"/>
  <c r="AG65" i="1"/>
  <c r="AB47" i="1"/>
  <c r="AG74" i="1"/>
  <c r="AG73" i="1"/>
  <c r="AG63" i="1"/>
  <c r="AB43" i="1"/>
  <c r="AG61" i="1"/>
  <c r="AG62" i="1"/>
  <c r="AN103" i="1"/>
  <c r="AI103" i="1" s="1"/>
  <c r="AB77" i="1"/>
  <c r="AB46" i="1"/>
  <c r="AG72" i="1"/>
  <c r="AG70" i="1"/>
  <c r="AG69" i="1"/>
  <c r="AB45" i="1"/>
  <c r="AG57" i="1"/>
  <c r="AG56" i="1"/>
  <c r="AG48" i="1"/>
  <c r="AB41" i="1"/>
  <c r="AG60" i="1"/>
  <c r="AG58" i="1"/>
  <c r="AG59" i="1"/>
  <c r="AB42" i="1"/>
  <c r="AB48" i="1" l="1"/>
  <c r="AG75" i="1"/>
  <c r="AG76" i="1" s="1"/>
  <c r="AN79" i="1"/>
  <c r="AI79" i="1" s="1"/>
  <c r="AB69" i="1"/>
  <c r="AN78" i="1"/>
  <c r="AI78" i="1" s="1"/>
  <c r="AN61" i="1"/>
  <c r="AI61" i="1" s="1"/>
  <c r="AB61" i="1"/>
  <c r="AN62" i="1"/>
  <c r="AI62" i="1" s="1"/>
  <c r="AN60" i="1"/>
  <c r="AI60" i="1" s="1"/>
  <c r="AN91" i="1"/>
  <c r="AI91" i="1" s="1"/>
  <c r="AB73" i="1"/>
  <c r="AB65" i="1"/>
  <c r="AN71" i="1"/>
  <c r="AI71" i="1" s="1"/>
  <c r="AN52" i="1"/>
  <c r="AI52" i="1" s="1"/>
  <c r="AB58" i="1"/>
  <c r="AN51" i="1"/>
  <c r="AI51" i="1" s="1"/>
  <c r="AB56" i="1"/>
  <c r="AN42" i="1"/>
  <c r="AI42" i="1" s="1"/>
  <c r="AN81" i="1"/>
  <c r="AI81" i="1" s="1"/>
  <c r="AB70" i="1"/>
  <c r="AN82" i="1"/>
  <c r="AI82" i="1" s="1"/>
  <c r="AN93" i="1"/>
  <c r="AI93" i="1" s="1"/>
  <c r="AB74" i="1"/>
  <c r="AN58" i="1"/>
  <c r="AI58" i="1" s="1"/>
  <c r="AB60" i="1"/>
  <c r="AN57" i="1"/>
  <c r="AI57" i="1" s="1"/>
  <c r="AN47" i="1"/>
  <c r="AI47" i="1" s="1"/>
  <c r="AB57" i="1"/>
  <c r="AN48" i="1"/>
  <c r="AI48" i="1" s="1"/>
  <c r="AN46" i="1"/>
  <c r="AI46" i="1" s="1"/>
  <c r="AN45" i="1"/>
  <c r="AI45" i="1" s="1"/>
  <c r="AG71" i="1"/>
  <c r="AG64" i="1"/>
  <c r="AN55" i="1"/>
  <c r="AI55" i="1" s="1"/>
  <c r="AN54" i="1"/>
  <c r="AI54" i="1" s="1"/>
  <c r="AB59" i="1"/>
  <c r="AE37" i="1"/>
  <c r="AE38" i="1"/>
  <c r="AN88" i="1"/>
  <c r="AI88" i="1" s="1"/>
  <c r="AN86" i="1"/>
  <c r="AI86" i="1" s="1"/>
  <c r="AN85" i="1"/>
  <c r="AI85" i="1" s="1"/>
  <c r="AB72" i="1"/>
  <c r="AN89" i="1"/>
  <c r="AI89" i="1" s="1"/>
  <c r="AN87" i="1"/>
  <c r="AI87" i="1" s="1"/>
  <c r="AN65" i="1"/>
  <c r="AI65" i="1" s="1"/>
  <c r="AB62" i="1"/>
  <c r="AN66" i="1"/>
  <c r="AI66" i="1" s="1"/>
  <c r="AN64" i="1"/>
  <c r="AI64" i="1" s="1"/>
  <c r="AB63" i="1"/>
  <c r="AN69" i="1"/>
  <c r="AI69" i="1" s="1"/>
  <c r="AG67" i="1"/>
  <c r="AG68" i="1" s="1"/>
  <c r="AB66" i="1"/>
  <c r="AN72" i="1"/>
  <c r="AI72" i="1" s="1"/>
  <c r="AN68" i="1" l="1"/>
  <c r="AI68" i="1" s="1"/>
  <c r="AN63" i="1"/>
  <c r="AI63" i="1" s="1"/>
  <c r="AN92" i="1"/>
  <c r="AI92" i="1" s="1"/>
  <c r="AN56" i="1"/>
  <c r="AI56" i="1" s="1"/>
  <c r="AN53" i="1"/>
  <c r="AI53" i="1" s="1"/>
  <c r="AN74" i="1"/>
  <c r="AI74" i="1" s="1"/>
  <c r="AN76" i="1"/>
  <c r="AI76" i="1" s="1"/>
  <c r="AB68" i="1"/>
  <c r="AN75" i="1"/>
  <c r="AI75" i="1" s="1"/>
  <c r="AN100" i="1"/>
  <c r="AI100" i="1" s="1"/>
  <c r="AN101" i="1"/>
  <c r="AI101" i="1" s="1"/>
  <c r="AN99" i="1"/>
  <c r="AI99" i="1" s="1"/>
  <c r="AB76" i="1"/>
  <c r="AN44" i="1"/>
  <c r="AI44" i="1" s="1"/>
  <c r="AB64" i="1"/>
  <c r="AN70" i="1"/>
  <c r="AI70" i="1" s="1"/>
  <c r="AN50" i="1"/>
  <c r="AI50" i="1" s="1"/>
  <c r="AN59" i="1"/>
  <c r="AI59" i="1" s="1"/>
  <c r="AB71" i="1"/>
  <c r="AN84" i="1"/>
  <c r="AI84" i="1" s="1"/>
  <c r="AN94" i="1"/>
  <c r="AI94" i="1" s="1"/>
  <c r="AN83" i="1"/>
  <c r="AI83" i="1" s="1"/>
  <c r="AB75" i="1"/>
  <c r="AN95" i="1"/>
  <c r="AI95" i="1" s="1"/>
  <c r="AN96" i="1"/>
  <c r="AI96" i="1" s="1"/>
  <c r="AB67" i="1"/>
  <c r="AN73" i="1"/>
  <c r="AI73" i="1" s="1"/>
  <c r="AN90" i="1"/>
  <c r="AI90" i="1" s="1"/>
  <c r="AN80" i="1"/>
  <c r="AI80" i="1" s="1"/>
  <c r="AE53" i="1" l="1"/>
  <c r="AV46" i="1" s="1"/>
  <c r="AQ46" i="1" s="1"/>
  <c r="AE54" i="1"/>
  <c r="AN77" i="1"/>
  <c r="AI77" i="1" s="1"/>
  <c r="AN97" i="1"/>
  <c r="AI97" i="1" s="1"/>
  <c r="AN102" i="1"/>
  <c r="AI102" i="1" s="1"/>
  <c r="AV41" i="1" l="1"/>
  <c r="AQ41" i="1" s="1"/>
  <c r="AV43" i="1"/>
  <c r="AQ43" i="1" s="1"/>
  <c r="AV44" i="1"/>
  <c r="AQ44" i="1" s="1"/>
  <c r="AV48" i="1"/>
  <c r="AQ48" i="1" s="1"/>
  <c r="AF53" i="1"/>
  <c r="AV42" i="1"/>
  <c r="AQ42" i="1" s="1"/>
  <c r="AV47" i="1"/>
  <c r="AQ47" i="1" s="1"/>
  <c r="AV45" i="1"/>
  <c r="AQ45" i="1" s="1"/>
  <c r="AN98" i="1"/>
  <c r="AI98" i="1" s="1"/>
  <c r="AM38" i="1" s="1"/>
  <c r="AT37" i="1" l="1"/>
  <c r="F3" i="1" s="1"/>
  <c r="AT38" i="1"/>
  <c r="AM39" i="1"/>
  <c r="AM37" i="1"/>
  <c r="E3" i="1" s="1"/>
  <c r="K6" i="1" s="1"/>
  <c r="K7" i="1" s="1"/>
  <c r="BC76" i="1" l="1"/>
  <c r="BC30" i="1"/>
  <c r="BC44" i="1"/>
  <c r="BC269" i="1"/>
  <c r="BC273" i="1"/>
  <c r="BC146" i="1"/>
  <c r="BC49" i="1"/>
  <c r="BC237" i="1"/>
  <c r="BC261" i="1"/>
  <c r="BC145" i="1"/>
  <c r="BC144" i="1"/>
  <c r="BC123" i="1"/>
  <c r="BC47" i="1"/>
  <c r="BC11" i="1"/>
  <c r="BC140" i="1"/>
  <c r="BC262" i="1"/>
  <c r="BC56" i="1"/>
  <c r="BC173" i="1"/>
  <c r="BC163" i="1"/>
  <c r="BC66" i="1"/>
  <c r="BC181" i="1"/>
  <c r="BC22" i="1"/>
  <c r="BC185" i="1"/>
  <c r="BC149" i="1"/>
  <c r="BC36" i="1"/>
  <c r="BC129" i="1"/>
  <c r="BC151" i="1"/>
  <c r="BC255" i="1"/>
  <c r="BC12" i="1"/>
  <c r="BC274" i="1"/>
  <c r="BC119" i="1"/>
  <c r="BC285" i="1"/>
  <c r="BC45" i="1"/>
  <c r="BC247" i="1"/>
  <c r="BC65" i="1"/>
  <c r="BC284" i="1"/>
  <c r="BC295" i="1"/>
  <c r="BC38" i="1"/>
  <c r="BC137" i="1"/>
  <c r="BC8" i="1"/>
  <c r="BC34" i="1"/>
  <c r="BC96" i="1"/>
  <c r="BC109" i="1"/>
  <c r="BC291" i="1"/>
  <c r="BC243" i="1"/>
  <c r="BC193" i="1"/>
  <c r="BC101" i="1"/>
  <c r="BC68" i="1"/>
  <c r="BC242" i="1"/>
  <c r="BC260" i="1"/>
  <c r="BC95" i="1"/>
  <c r="BC153" i="1"/>
  <c r="BC107" i="1"/>
  <c r="BC249" i="1"/>
  <c r="BC287" i="1"/>
  <c r="BC98" i="1"/>
  <c r="BC264" i="1"/>
  <c r="BC207" i="1"/>
  <c r="BC286" i="1"/>
  <c r="BC268" i="1"/>
  <c r="BC228" i="1"/>
  <c r="BC201" i="1"/>
  <c r="H3" i="1"/>
  <c r="BC203" i="1"/>
  <c r="BC225" i="1"/>
  <c r="BC281" i="1"/>
  <c r="BC230" i="1"/>
  <c r="BC211" i="1"/>
  <c r="BC82" i="1"/>
  <c r="BC42" i="1"/>
  <c r="BC168" i="1"/>
  <c r="BC100" i="1"/>
  <c r="BC202" i="1"/>
  <c r="BC139" i="1"/>
  <c r="BC132" i="1"/>
  <c r="BC112" i="1"/>
  <c r="BC106" i="1"/>
  <c r="BC78" i="1"/>
  <c r="BC258" i="1"/>
  <c r="BC272" i="1"/>
  <c r="BC23" i="1"/>
  <c r="BC265" i="1"/>
  <c r="BC122" i="1"/>
  <c r="BC16" i="1"/>
  <c r="BC148" i="1"/>
  <c r="BC147" i="1"/>
  <c r="BC267" i="1"/>
  <c r="BC156" i="1"/>
  <c r="BC72" i="1"/>
  <c r="BC62" i="1"/>
  <c r="BC277" i="1"/>
  <c r="BC183" i="1"/>
  <c r="BC245" i="1"/>
  <c r="BC226" i="1"/>
  <c r="BC108" i="1"/>
  <c r="BC178" i="1"/>
  <c r="BC88" i="1"/>
  <c r="BC235" i="1"/>
  <c r="BC54" i="1"/>
  <c r="BC270" i="1"/>
  <c r="BC223" i="1"/>
  <c r="BC28" i="1"/>
  <c r="BC252" i="1"/>
  <c r="BC246" i="1"/>
  <c r="BC97" i="1"/>
  <c r="BC240" i="1"/>
  <c r="BC99" i="1"/>
  <c r="BC263" i="1"/>
  <c r="BC105" i="1"/>
  <c r="BC238" i="1"/>
  <c r="BC298" i="1"/>
  <c r="BC180" i="1"/>
  <c r="BC195" i="1"/>
  <c r="BC102" i="1"/>
  <c r="BC26" i="1"/>
  <c r="BC234" i="1"/>
  <c r="BC116" i="1"/>
  <c r="BC209" i="1"/>
  <c r="BC206" i="1"/>
  <c r="BC115" i="1"/>
  <c r="BC282" i="1"/>
  <c r="BC276" i="1"/>
  <c r="BC220" i="1"/>
  <c r="BC254" i="1"/>
  <c r="BC60" i="1"/>
  <c r="BC134" i="1"/>
  <c r="BC32" i="1"/>
  <c r="BC159" i="1"/>
  <c r="BC7" i="1"/>
  <c r="BC186" i="1"/>
  <c r="BC161" i="1"/>
  <c r="BC141" i="1"/>
  <c r="BC250" i="1"/>
  <c r="BC79" i="1"/>
  <c r="BC135" i="1"/>
  <c r="BC53" i="1"/>
  <c r="BC59" i="1"/>
  <c r="BC117" i="1"/>
  <c r="BC87" i="1"/>
  <c r="BC266" i="1"/>
  <c r="BC271" i="1"/>
  <c r="BC9" i="1"/>
  <c r="BC52" i="1"/>
  <c r="BC278" i="1"/>
  <c r="BC94" i="1"/>
  <c r="BC177" i="1"/>
  <c r="BC131" i="1"/>
  <c r="BC10" i="1"/>
  <c r="BC75" i="1"/>
  <c r="BC81" i="1"/>
  <c r="BC155" i="1"/>
  <c r="BC214" i="1"/>
  <c r="BC5" i="1"/>
  <c r="BC111" i="1"/>
  <c r="BC86" i="1"/>
  <c r="BC280" i="1"/>
  <c r="BC174" i="1"/>
  <c r="BC157" i="1"/>
  <c r="BC73" i="1"/>
  <c r="BC57" i="1"/>
  <c r="BC184" i="1"/>
  <c r="BC256" i="1"/>
  <c r="BC239" i="1"/>
  <c r="BC257" i="1"/>
  <c r="BC212" i="1"/>
  <c r="BC50" i="1"/>
  <c r="BC83" i="1"/>
  <c r="BC170" i="1"/>
  <c r="BC14" i="1"/>
  <c r="BC71" i="1"/>
  <c r="BC165" i="1"/>
  <c r="BC142" i="1"/>
  <c r="BC150" i="1"/>
  <c r="BC130" i="1"/>
  <c r="BC113" i="1"/>
  <c r="BC290" i="1"/>
  <c r="BC283" i="1"/>
  <c r="BC233" i="1"/>
  <c r="BC248" i="1"/>
  <c r="BC63" i="1"/>
  <c r="BC175" i="1"/>
  <c r="BC39" i="1"/>
  <c r="BC138" i="1"/>
  <c r="BC213" i="1"/>
  <c r="BC200" i="1"/>
  <c r="BC19" i="1"/>
  <c r="BC35" i="1"/>
  <c r="BC104" i="1"/>
  <c r="BC58" i="1"/>
  <c r="BC251" i="1"/>
  <c r="BC85" i="1"/>
  <c r="BC125" i="1"/>
  <c r="BC224" i="1"/>
  <c r="BC198" i="1"/>
  <c r="BC194" i="1"/>
  <c r="BC294" i="1"/>
  <c r="BC169" i="1"/>
  <c r="BC4" i="1"/>
  <c r="BC197" i="1"/>
  <c r="BC77" i="1"/>
  <c r="BC120" i="1"/>
  <c r="BC41" i="1"/>
  <c r="BC204" i="1"/>
  <c r="BC192" i="1"/>
  <c r="BC74" i="1"/>
  <c r="BC227" i="1"/>
  <c r="BC89" i="1"/>
  <c r="BC126" i="1"/>
  <c r="BC93" i="1"/>
  <c r="BC20" i="1"/>
  <c r="BC160" i="1"/>
  <c r="BC152" i="1"/>
  <c r="BC176" i="1"/>
  <c r="BC215" i="1"/>
  <c r="BC128" i="1"/>
  <c r="BC90" i="1"/>
  <c r="BC259" i="1"/>
  <c r="BC80" i="1"/>
  <c r="BC13" i="1"/>
  <c r="BC292" i="1"/>
  <c r="BC43" i="1"/>
  <c r="BC103" i="1"/>
  <c r="BC92" i="1"/>
  <c r="BC46" i="1"/>
  <c r="BC236" i="1"/>
  <c r="BC162" i="1"/>
  <c r="BC216" i="1"/>
  <c r="BC121" i="1"/>
  <c r="BC293" i="1"/>
  <c r="BC24" i="1"/>
  <c r="BC210" i="1"/>
  <c r="BC127" i="1"/>
  <c r="BC48" i="1"/>
  <c r="BC17" i="1"/>
  <c r="BC67" i="1"/>
  <c r="BC297" i="1"/>
  <c r="BC296" i="1"/>
  <c r="BC190" i="1"/>
  <c r="BC70" i="1"/>
  <c r="BC6" i="1"/>
  <c r="BC110" i="1"/>
  <c r="BC279" i="1"/>
  <c r="BC114" i="1"/>
  <c r="BC136" i="1"/>
  <c r="BC199" i="1"/>
  <c r="BC61" i="1"/>
  <c r="BC55" i="1"/>
  <c r="BC166" i="1"/>
  <c r="BC37" i="1"/>
  <c r="BC118" i="1"/>
  <c r="BC167" i="1"/>
  <c r="BC191" i="1"/>
  <c r="BC253" i="1"/>
  <c r="BC27" i="1"/>
  <c r="BC171" i="1"/>
  <c r="BC143" i="1"/>
  <c r="BC222" i="1"/>
  <c r="BC40" i="1"/>
  <c r="BC188" i="1"/>
  <c r="BC154" i="1"/>
  <c r="BC133" i="1"/>
  <c r="BC187" i="1"/>
  <c r="BC29" i="1"/>
  <c r="BC15" i="1"/>
  <c r="BC25" i="1"/>
  <c r="BC84" i="1"/>
  <c r="BC172" i="1"/>
  <c r="BC3" i="1"/>
  <c r="BC231" i="1"/>
  <c r="BC219" i="1"/>
  <c r="BC124" i="1"/>
  <c r="BC196" i="1"/>
  <c r="BC221" i="1"/>
  <c r="BC91" i="1"/>
  <c r="BC18" i="1"/>
  <c r="BC21" i="1"/>
  <c r="BC182" i="1"/>
  <c r="BC208" i="1"/>
  <c r="BC205" i="1"/>
  <c r="BC64" i="1"/>
  <c r="BC179" i="1"/>
  <c r="BC218" i="1"/>
  <c r="BC2" i="1"/>
  <c r="BC69" i="1"/>
  <c r="BC33" i="1"/>
  <c r="BC241" i="1"/>
  <c r="BC31" i="1"/>
  <c r="BC164" i="1"/>
  <c r="BC51" i="1"/>
  <c r="BC229" i="1"/>
  <c r="BC288" i="1"/>
  <c r="BC189" i="1"/>
  <c r="BC232" i="1"/>
  <c r="BC275" i="1"/>
  <c r="BC217" i="1"/>
  <c r="BC158" i="1"/>
  <c r="BC244" i="1"/>
  <c r="BC289" i="1"/>
  <c r="AX3" i="1" l="1" a="1"/>
  <c r="AX3" i="1" s="1"/>
  <c r="E7" i="1" s="1"/>
  <c r="AX2" i="1" l="1"/>
</calcChain>
</file>

<file path=xl/comments1.xml><?xml version="1.0" encoding="utf-8"?>
<comments xmlns="http://schemas.openxmlformats.org/spreadsheetml/2006/main">
  <authors>
    <author>Andrea Zadravec Vrabec</author>
    <author>Andrea</author>
  </authors>
  <commentList>
    <comment ref="B20" authorId="0" shapeId="0">
      <text>
        <r>
          <rPr>
            <b/>
            <sz val="9"/>
            <color indexed="81"/>
            <rFont val="Tahoma"/>
            <family val="2"/>
            <charset val="238"/>
          </rPr>
          <t>Andrea Zadravec Vrabec:</t>
        </r>
        <r>
          <rPr>
            <sz val="9"/>
            <color indexed="81"/>
            <rFont val="Tahoma"/>
            <family val="2"/>
            <charset val="238"/>
          </rPr>
          <t xml:space="preserve">
Grašak, stočni grašak i slatka lupina za suho zrno - prema DZS</t>
        </r>
      </text>
    </comment>
    <comment ref="O20" authorId="0" shapeId="0">
      <text>
        <r>
          <rPr>
            <b/>
            <sz val="9"/>
            <color indexed="81"/>
            <rFont val="Tahoma"/>
            <family val="2"/>
            <charset val="238"/>
          </rPr>
          <t>Andrea Zadravec Vrabec:</t>
        </r>
        <r>
          <rPr>
            <sz val="9"/>
            <color indexed="81"/>
            <rFont val="Tahoma"/>
            <family val="2"/>
            <charset val="238"/>
          </rPr>
          <t xml:space="preserve">
Grašak, stočni grašak i slatka lupina za suho zrno - prema DZS</t>
        </r>
      </text>
    </comment>
    <comment ref="N23" authorId="1" shapeId="0">
      <text>
        <r>
          <rPr>
            <b/>
            <sz val="9"/>
            <color indexed="81"/>
            <rFont val="Tahoma"/>
            <family val="2"/>
            <charset val="238"/>
          </rPr>
          <t>Andrea:</t>
        </r>
        <r>
          <rPr>
            <sz val="9"/>
            <color indexed="81"/>
            <rFont val="Tahoma"/>
            <family val="2"/>
            <charset val="238"/>
          </rPr>
          <t xml:space="preserve">
bio 2.01.06.99.</t>
        </r>
      </text>
    </comment>
    <comment ref="N48" authorId="1" shapeId="0">
      <text>
        <r>
          <rPr>
            <b/>
            <sz val="9"/>
            <color indexed="81"/>
            <rFont val="Tahoma"/>
            <family val="2"/>
            <charset val="238"/>
          </rPr>
          <t>Andrea:</t>
        </r>
        <r>
          <rPr>
            <sz val="9"/>
            <color indexed="81"/>
            <rFont val="Tahoma"/>
            <family val="2"/>
            <charset val="238"/>
          </rPr>
          <t xml:space="preserve">
bio 2.04.01.01.01.</t>
        </r>
      </text>
    </comment>
  </commentList>
</comments>
</file>

<file path=xl/sharedStrings.xml><?xml version="1.0" encoding="utf-8"?>
<sst xmlns="http://schemas.openxmlformats.org/spreadsheetml/2006/main" count="1188" uniqueCount="785">
  <si>
    <t>Céréales</t>
  </si>
  <si>
    <t>Coef</t>
  </si>
  <si>
    <t>Soja</t>
  </si>
  <si>
    <t>D01</t>
  </si>
  <si>
    <t>D04</t>
  </si>
  <si>
    <t>D10</t>
  </si>
  <si>
    <t>D11</t>
  </si>
  <si>
    <t>D06</t>
  </si>
  <si>
    <t>F01</t>
  </si>
  <si>
    <t>D08</t>
  </si>
  <si>
    <t>D14B</t>
  </si>
  <si>
    <t>D15</t>
  </si>
  <si>
    <t>G01C</t>
  </si>
  <si>
    <t>D16</t>
  </si>
  <si>
    <t>G02</t>
  </si>
  <si>
    <t>D19</t>
  </si>
  <si>
    <t>D17</t>
  </si>
  <si>
    <t>G03</t>
  </si>
  <si>
    <t>G05</t>
  </si>
  <si>
    <t>G04A</t>
  </si>
  <si>
    <t>G04C</t>
  </si>
  <si>
    <t>J01</t>
  </si>
  <si>
    <t>J14</t>
  </si>
  <si>
    <t>J09B</t>
  </si>
  <si>
    <t>J15</t>
  </si>
  <si>
    <t>J02</t>
  </si>
  <si>
    <t>J10A</t>
  </si>
  <si>
    <t>J03</t>
  </si>
  <si>
    <t>J10B</t>
  </si>
  <si>
    <t>J04</t>
  </si>
  <si>
    <t>J05</t>
  </si>
  <si>
    <t>J11</t>
  </si>
  <si>
    <t>J06</t>
  </si>
  <si>
    <t>J12</t>
  </si>
  <si>
    <t>J18</t>
  </si>
  <si>
    <t>J07</t>
  </si>
  <si>
    <t>J13</t>
  </si>
  <si>
    <t>J08</t>
  </si>
  <si>
    <t>Code</t>
  </si>
  <si>
    <t>Pšenica</t>
  </si>
  <si>
    <t>ha</t>
  </si>
  <si>
    <t>Common wheat and spelt</t>
  </si>
  <si>
    <t>Ječam</t>
  </si>
  <si>
    <t>Barley</t>
  </si>
  <si>
    <t>Grain maize</t>
  </si>
  <si>
    <t>Other cereals for the production of grain</t>
  </si>
  <si>
    <t>Peas, field beans and sweet lupines</t>
  </si>
  <si>
    <t>Krumpir</t>
  </si>
  <si>
    <t>Potatoes (including early potatoes and seed potatoes)</t>
  </si>
  <si>
    <t>Sugar beet (excluding seeds)</t>
  </si>
  <si>
    <t>D14A</t>
  </si>
  <si>
    <t>D23</t>
  </si>
  <si>
    <t>Tobacco</t>
  </si>
  <si>
    <t>Uljana repica</t>
  </si>
  <si>
    <t>D26</t>
  </si>
  <si>
    <t>Rape and turnip rape</t>
  </si>
  <si>
    <t>Suncokret</t>
  </si>
  <si>
    <t>D27</t>
  </si>
  <si>
    <t>Sunflower</t>
  </si>
  <si>
    <t>D28</t>
  </si>
  <si>
    <t>Soya</t>
  </si>
  <si>
    <t>D30</t>
  </si>
  <si>
    <t>Other oil seed crops</t>
  </si>
  <si>
    <t>Other textile crops</t>
  </si>
  <si>
    <t>D34</t>
  </si>
  <si>
    <t>Aromatic plants, medicinal and culinary plants</t>
  </si>
  <si>
    <t>Pasture and meadow, excluding rough grazings</t>
  </si>
  <si>
    <t>Nuts</t>
  </si>
  <si>
    <t>Citrus plantations</t>
  </si>
  <si>
    <t>G03B</t>
  </si>
  <si>
    <t>Equidae</t>
  </si>
  <si>
    <t>Bovine animals, under one year old, male and female</t>
  </si>
  <si>
    <t>Male bovine animals, one but less than 2 years old</t>
  </si>
  <si>
    <t>Female bovine animals, one but less than 2 years old</t>
  </si>
  <si>
    <t>Male bovine animals, two years old and over</t>
  </si>
  <si>
    <t>Heifers, two years old and over</t>
  </si>
  <si>
    <t>Dairy cows</t>
  </si>
  <si>
    <t>Other cows</t>
  </si>
  <si>
    <t>J09A</t>
  </si>
  <si>
    <t>Sheep breeding females</t>
  </si>
  <si>
    <t>Sheep other sheep</t>
  </si>
  <si>
    <t>Goats breeding females</t>
  </si>
  <si>
    <t>Goats other goats</t>
  </si>
  <si>
    <t>Piglets having a live weight of under 20 kg</t>
  </si>
  <si>
    <t>Breeding sows weighing 50 kilograms and over</t>
  </si>
  <si>
    <t>Other pigs</t>
  </si>
  <si>
    <t>Pilići u tovu (brojleri)</t>
  </si>
  <si>
    <t>Broilers</t>
  </si>
  <si>
    <t>Kokoši (nesilice i pijetlovi)</t>
  </si>
  <si>
    <t>Laying hens</t>
  </si>
  <si>
    <t>J16</t>
  </si>
  <si>
    <t>Other poultry</t>
  </si>
  <si>
    <t>Bees</t>
  </si>
  <si>
    <t>HR_Lib</t>
  </si>
  <si>
    <t>GB_Lib</t>
  </si>
  <si>
    <t>Unit</t>
  </si>
  <si>
    <t>General cropping</t>
  </si>
  <si>
    <t>Horticulture</t>
  </si>
  <si>
    <t>Permanent crops</t>
  </si>
  <si>
    <t>Granivores</t>
  </si>
  <si>
    <t>Cereals</t>
  </si>
  <si>
    <t>Cattle, dairying</t>
  </si>
  <si>
    <t>Cattle</t>
  </si>
  <si>
    <t>Pigs</t>
  </si>
  <si>
    <t>Poultry</t>
  </si>
  <si>
    <t>Cereals without rice</t>
  </si>
  <si>
    <t>Roots</t>
  </si>
  <si>
    <t>Non-classifiable holdings</t>
  </si>
  <si>
    <t>Specialist field crops</t>
  </si>
  <si>
    <t>Specialist horticulture</t>
  </si>
  <si>
    <t>Specialist permanent crops</t>
  </si>
  <si>
    <t>Specialist grazing livestock</t>
  </si>
  <si>
    <t>Specialist granivores</t>
  </si>
  <si>
    <t>Mixed cropping</t>
  </si>
  <si>
    <t>Mixed livestock holdings</t>
  </si>
  <si>
    <t>Mixed crops - livestock</t>
  </si>
  <si>
    <t>1T</t>
  </si>
  <si>
    <t>2T</t>
  </si>
  <si>
    <t>Equidés</t>
  </si>
  <si>
    <t>Bovins de moins d’un an, mâles et femelles</t>
  </si>
  <si>
    <t>Bovins d'un an à moins de deux ans, mâles</t>
  </si>
  <si>
    <t>Bovins d'un an à moins de deux ans, femelles</t>
  </si>
  <si>
    <t>Bovins de deux ans et plus, mâles</t>
  </si>
  <si>
    <t>Génisses de deux ans et plus</t>
  </si>
  <si>
    <t>Vaches laitières</t>
  </si>
  <si>
    <t>Autres vaches</t>
  </si>
  <si>
    <t>Ovins, femelles reproductrices</t>
  </si>
  <si>
    <t>Autres ovins</t>
  </si>
  <si>
    <t>Caprins , femelles reproductrices</t>
  </si>
  <si>
    <t>Autres caprins</t>
  </si>
  <si>
    <t>Porcelets d’un poids vif de moins de 20 kg</t>
  </si>
  <si>
    <t>Truies reproductrices de 50 kg et plus</t>
  </si>
  <si>
    <t>Autres porcs</t>
  </si>
  <si>
    <t>Poulets de chair</t>
  </si>
  <si>
    <t>Poules pondeuses</t>
  </si>
  <si>
    <t>Autres volailles</t>
  </si>
  <si>
    <t>Abeilles</t>
  </si>
  <si>
    <t>FR_Lib</t>
  </si>
  <si>
    <t>Arable land seeds and seedlings (excluding cereals, dried vegetables, potatoes and oil-seed plants)</t>
  </si>
  <si>
    <t>Fresh fruit and berry species of temperate climate zones( )</t>
  </si>
  <si>
    <t>Blé tendre et épeautre</t>
  </si>
  <si>
    <t>Orge</t>
  </si>
  <si>
    <t>Maïs grain</t>
  </si>
  <si>
    <t>Autres céréales pour la récolte en grains</t>
  </si>
  <si>
    <t>Pois secs, fèves et féveroles, lupins doux</t>
  </si>
  <si>
    <t>Pommes de terre (y compris primeurs et plants)</t>
  </si>
  <si>
    <t>Betteraves sucrières (non compris les semences)</t>
  </si>
  <si>
    <t>Semences et plants de terres arables (non compris les céréales, légumes secs, pommes de terre et plantes oléagineuses)</t>
  </si>
  <si>
    <t>Tabac</t>
  </si>
  <si>
    <t>Colza et navette</t>
  </si>
  <si>
    <t>Tournesol</t>
  </si>
  <si>
    <t>Autres cultures oléagineuses</t>
  </si>
  <si>
    <t>Autres plantes textiles</t>
  </si>
  <si>
    <t>Plantes aromatiques, médicinales et condimentaires</t>
  </si>
  <si>
    <t>Fruits frais et baies d’espèces, d’origine tempérée: ( )</t>
  </si>
  <si>
    <t>Fruits à coque</t>
  </si>
  <si>
    <t>Agrumeraies</t>
  </si>
  <si>
    <t>Vin de qualité</t>
  </si>
  <si>
    <t>Raisins de table</t>
  </si>
  <si>
    <t>Pépinières</t>
  </si>
  <si>
    <t>coef_regija1</t>
  </si>
  <si>
    <t>coef_regija2</t>
  </si>
  <si>
    <t>HR</t>
  </si>
  <si>
    <t>Ljekovito, začinsko i aromatično bilje</t>
  </si>
  <si>
    <t>Stolno grožđe</t>
  </si>
  <si>
    <t>Mliječne krave</t>
  </si>
  <si>
    <t>Rasplodne ovce</t>
  </si>
  <si>
    <t>Rasplodne koze</t>
  </si>
  <si>
    <t>kljun</t>
  </si>
  <si>
    <t>grlo</t>
  </si>
  <si>
    <t>košnica</t>
  </si>
  <si>
    <t>2.01.01.01.</t>
  </si>
  <si>
    <t>2.01.01.04.</t>
  </si>
  <si>
    <t>2.01.01.06.</t>
  </si>
  <si>
    <t>2.01.01.99.</t>
  </si>
  <si>
    <t>2.01.02.01.</t>
  </si>
  <si>
    <t>D09E</t>
  </si>
  <si>
    <t>2.01.03.</t>
  </si>
  <si>
    <t>2.01.04.</t>
  </si>
  <si>
    <t>2.01.05.</t>
  </si>
  <si>
    <t>2.01.07.01.01.</t>
  </si>
  <si>
    <t>2.01.07.01.02.</t>
  </si>
  <si>
    <t>2.01.07.02.</t>
  </si>
  <si>
    <t>2.01.08.01.</t>
  </si>
  <si>
    <t>2.01.08.02.</t>
  </si>
  <si>
    <t>D18B2</t>
  </si>
  <si>
    <t>2.01.10.</t>
  </si>
  <si>
    <t>2.01.06.01.</t>
  </si>
  <si>
    <t>2.01.06.04.</t>
  </si>
  <si>
    <t>2.01.06.05.</t>
  </si>
  <si>
    <t>2.01.06.06.</t>
  </si>
  <si>
    <t>2.01.06.08.</t>
  </si>
  <si>
    <t>2.01.06.11.</t>
  </si>
  <si>
    <t>2.01.06.12.</t>
  </si>
  <si>
    <t>2.03.01.</t>
  </si>
  <si>
    <t>G01D1</t>
  </si>
  <si>
    <t>G01D2</t>
  </si>
  <si>
    <t>2.04.01.03.</t>
  </si>
  <si>
    <t>2.04.02.</t>
  </si>
  <si>
    <t>2.04.04.01.</t>
  </si>
  <si>
    <t>2.04.04.02.</t>
  </si>
  <si>
    <t>G04B</t>
  </si>
  <si>
    <t>2.04.04.03.</t>
  </si>
  <si>
    <t>2.04.05.</t>
  </si>
  <si>
    <t>Other forage plants (alfaalfa)</t>
  </si>
  <si>
    <t>Other forage plants (clover)</t>
  </si>
  <si>
    <t>Autres cultures fourragères (luzerne)</t>
  </si>
  <si>
    <t>Autres cultures fourragères (luzerne alfaalfa)</t>
  </si>
  <si>
    <t>3.01.</t>
  </si>
  <si>
    <t>3.02.01.</t>
  </si>
  <si>
    <t>3.02.02.</t>
  </si>
  <si>
    <t>3.02.03.</t>
  </si>
  <si>
    <t>3.02.04.</t>
  </si>
  <si>
    <t>3.02.05.</t>
  </si>
  <si>
    <t>3.02.06.</t>
  </si>
  <si>
    <t>3.02.99.</t>
  </si>
  <si>
    <t>3.03.01.01.</t>
  </si>
  <si>
    <t>3.03.01.99.</t>
  </si>
  <si>
    <t>3.03.02.01.</t>
  </si>
  <si>
    <t>3.03.02.99.</t>
  </si>
  <si>
    <t>3.04.01.</t>
  </si>
  <si>
    <t>3.04.02.</t>
  </si>
  <si>
    <t>3.05.01.</t>
  </si>
  <si>
    <t>3.05.02.</t>
  </si>
  <si>
    <t>3.05.03.</t>
  </si>
  <si>
    <t>3.07.</t>
  </si>
  <si>
    <t>Vineyards : Quality wine</t>
  </si>
  <si>
    <t xml:space="preserve">                  Table wine</t>
  </si>
  <si>
    <t xml:space="preserve">                  Table grapes</t>
  </si>
  <si>
    <t>Vin de Table</t>
  </si>
  <si>
    <t>SO</t>
  </si>
  <si>
    <t>2.04.03.01</t>
  </si>
  <si>
    <t>2.04.03.02</t>
  </si>
  <si>
    <t>Pâturages et prés, non compris les pâturages pauvres</t>
  </si>
  <si>
    <t>Plantes récoltées en vert</t>
  </si>
  <si>
    <t>Légumes frais, melons et fraises de plein air ou sous abris bas (non accessible): Cultures de plein champ</t>
  </si>
  <si>
    <t>Légumes frais, melons et fraises de plein air ou sous abris bas (non accessible): Cultures maraîchères</t>
  </si>
  <si>
    <t>Légumes frais, melons et fraises: cultures sous serre ou sous autre abri (accessible)</t>
  </si>
  <si>
    <t xml:space="preserve">Fresh vegetables, melons and strawberries under glass or other (accessible) protective cover </t>
  </si>
  <si>
    <t xml:space="preserve">Fresh vegetables, melons and strawberries outdoor or under low protective cover: Open field </t>
  </si>
  <si>
    <t xml:space="preserve">Fresh vegetables, melons and strawberries outdoor or under low protective cover: Market gardening </t>
  </si>
  <si>
    <t>Fleurs et plantes ornementales (non compris les pépinières): de plein air ou sous abris bas (non accessible)</t>
  </si>
  <si>
    <t>Fleurs et plantes ornementales (non compris les pépinières): cultures sous serre ou sous autre abri (accessible) cultures sous serre ou sous autre abri (accessible)</t>
  </si>
  <si>
    <t>Flowers and ornamental plants (excluding nurseries):outdoor or under low (not accessible) protective cover</t>
  </si>
  <si>
    <t xml:space="preserve">Flowers and ornamental plants (excluding nurseries): under glass or other (accessible) protective cover </t>
  </si>
  <si>
    <t xml:space="preserve">                 Olives à huile (produisant normalement des ...)</t>
  </si>
  <si>
    <t xml:space="preserve">Olive plantations :  Table olives (normally producing ...) </t>
  </si>
  <si>
    <t xml:space="preserve">Oliveraies : Olives de table (produisant normalement des ...) </t>
  </si>
  <si>
    <t xml:space="preserve">                            Olives for oil production (normally producing ...)   </t>
  </si>
  <si>
    <t>_P151</t>
  </si>
  <si>
    <t>_P15</t>
  </si>
  <si>
    <t>TSO</t>
  </si>
  <si>
    <t>_P1</t>
  </si>
  <si>
    <t>_P2</t>
  </si>
  <si>
    <t>_P3</t>
  </si>
  <si>
    <t>_P4</t>
  </si>
  <si>
    <t>_P5</t>
  </si>
  <si>
    <t>_P16</t>
  </si>
  <si>
    <t>_P17</t>
  </si>
  <si>
    <t>_P45</t>
  </si>
  <si>
    <t>_P46</t>
  </si>
  <si>
    <t>_P51</t>
  </si>
  <si>
    <t>_P52</t>
  </si>
  <si>
    <t>_GL</t>
  </si>
  <si>
    <t>_FCP4</t>
  </si>
  <si>
    <t>_FCP1</t>
  </si>
  <si>
    <t>Céréales sans le riz</t>
  </si>
  <si>
    <t>Plantes oléagineuses</t>
  </si>
  <si>
    <t>Oilseeds</t>
  </si>
  <si>
    <t>Grandes cultures</t>
  </si>
  <si>
    <t>Cultures permanentes</t>
  </si>
  <si>
    <t>Bovins lait</t>
  </si>
  <si>
    <t>Bovins</t>
  </si>
  <si>
    <t>Herbivores</t>
  </si>
  <si>
    <t xml:space="preserve">Grazing livestock </t>
  </si>
  <si>
    <t>Fourrage destiné à la vente</t>
  </si>
  <si>
    <t xml:space="preserve">Forage for sale </t>
  </si>
  <si>
    <t xml:space="preserve">Fourrage pour herbivores </t>
  </si>
  <si>
    <t>Forage for grazing livestock</t>
  </si>
  <si>
    <t>Plantes sarclées</t>
  </si>
  <si>
    <t>Herbivores et fourrage</t>
  </si>
  <si>
    <t>Grazing livestock and forage</t>
  </si>
  <si>
    <t>Porcin</t>
  </si>
  <si>
    <t>Volaille</t>
  </si>
  <si>
    <t>PS total de l’exploitation</t>
  </si>
  <si>
    <t>Total SO of the holding</t>
  </si>
  <si>
    <t>1/3</t>
  </si>
  <si>
    <t>2/3</t>
  </si>
  <si>
    <t>1/4</t>
  </si>
  <si>
    <t>2/4</t>
  </si>
  <si>
    <t>Exploitations spécialisées en grandes cultures</t>
  </si>
  <si>
    <t>Exploitations horticoles spécialisées</t>
  </si>
  <si>
    <t>Exploitations spécialisées en cultures permanentes</t>
  </si>
  <si>
    <t>Exploitations spécialisées herbivores</t>
  </si>
  <si>
    <t>Exploitations spécialisées de production animale hors sol (granivores)</t>
  </si>
  <si>
    <t>Exploitations de polyculture</t>
  </si>
  <si>
    <t>Exploitations de polyélevage</t>
  </si>
  <si>
    <t>Exploitations mixtes cultures-élevage</t>
  </si>
  <si>
    <t>Exploitations non classées</t>
  </si>
  <si>
    <t>Nurseries</t>
  </si>
  <si>
    <t>Regija</t>
  </si>
  <si>
    <t>General field cropping</t>
  </si>
  <si>
    <t>Specialist cereals, oilseeds and protein crops</t>
  </si>
  <si>
    <t>Specialist horticulture indoor</t>
  </si>
  <si>
    <t>Specialist horticulture outdoor</t>
  </si>
  <si>
    <t>Other horticulture</t>
  </si>
  <si>
    <t>Specialist vineyards</t>
  </si>
  <si>
    <t>Specialist fruit and citrus fruit</t>
  </si>
  <si>
    <t>Specialist olives</t>
  </si>
  <si>
    <t>Various permanent crops combined</t>
  </si>
  <si>
    <t>Specialist dairying</t>
  </si>
  <si>
    <t>Specialist cattle – rearing and fattening</t>
  </si>
  <si>
    <t>Cattle – dairying, rearing and fattening combined</t>
  </si>
  <si>
    <t>Sheep, goats and other grazing livestock</t>
  </si>
  <si>
    <t>Specialist pigs</t>
  </si>
  <si>
    <t>Specialist poultry</t>
  </si>
  <si>
    <t>Various granivores combined</t>
  </si>
  <si>
    <t>Mixed livestock, mainly grazing livestock</t>
  </si>
  <si>
    <t>Mixed livestock, mainly granivores</t>
  </si>
  <si>
    <t>Field crops – grazing livestock combined</t>
  </si>
  <si>
    <t>Various crops and livestock combined</t>
  </si>
  <si>
    <t>Non-classified holdings</t>
  </si>
  <si>
    <t>Exploitations spécialisées en céréaliculture et en culture de plantes oléagineuses et protéagineuses</t>
  </si>
  <si>
    <t>Exploitations spécialisées en grandes cultures de type général</t>
  </si>
  <si>
    <t>Exploitations horticoles d'intérieur</t>
  </si>
  <si>
    <t>Exploitations horticoles de plein air</t>
  </si>
  <si>
    <t>Autres types d'horticulture</t>
  </si>
  <si>
    <t>Exploitations spécialisées en viticulture</t>
  </si>
  <si>
    <t>Exploitations fruitières et agrumicoles spécialisées</t>
  </si>
  <si>
    <t>Exploitations oléicoles spécialisées</t>
  </si>
  <si>
    <t>Exploitations avec diverses combinaisons de cultures permanentes</t>
  </si>
  <si>
    <t>Exploitations bovines spécialisées — orientation lait</t>
  </si>
  <si>
    <t>Exploitations bovines spécialisées — orientation élevage et viande</t>
  </si>
  <si>
    <t>Exploitations bovines — lait, élevage et viande combinés</t>
  </si>
  <si>
    <t>Exploitations avec ovins, caprins et autres herbivores</t>
  </si>
  <si>
    <t>Exploitations porcines spécialisées</t>
  </si>
  <si>
    <t>Exploitations avicoles spécialisées</t>
  </si>
  <si>
    <t>Exploitations avec diverses combinaisons de granivores</t>
  </si>
  <si>
    <t>Exploitations de polyélevage à orientation herbivores</t>
  </si>
  <si>
    <t>Exploitations de polyélevage à orientation granivores</t>
  </si>
  <si>
    <t>Exploitations mixtes avec diverses combinaisons cultures-élevage</t>
  </si>
  <si>
    <t>FR</t>
  </si>
  <si>
    <t>EN</t>
  </si>
  <si>
    <t>Tip poljoprivrednog gospodarstva</t>
  </si>
  <si>
    <t>Jadranska Hrvatska</t>
  </si>
  <si>
    <t>Biljna proizvodnja - ratarstvo</t>
  </si>
  <si>
    <t>Biljna proizvodnja - povrćarstvo, cvjećarstvo i ukrasno bilje</t>
  </si>
  <si>
    <t>Biljna proizvodnja - voćarstvo, vinogradarstvo i maslinarstvo</t>
  </si>
  <si>
    <t>Stočarstvo - govedarstvo, ovčarstvo i kozarstvo</t>
  </si>
  <si>
    <t>Stočarstvo - svinjogojstvo i peradarstvo</t>
  </si>
  <si>
    <t>Biljna proizvodnja - kombinirano</t>
  </si>
  <si>
    <t>Stočarstvo - kombinirano</t>
  </si>
  <si>
    <t>Biljna proizvodnja i stočarstvo - kombinirano</t>
  </si>
  <si>
    <t>Neklasificirana poljoprivredna gospodarstva</t>
  </si>
  <si>
    <t>Uzgoj žitarica, uljarica i proteinskih usjeva</t>
  </si>
  <si>
    <t>Uzgoj različitih biljnih usjeva</t>
  </si>
  <si>
    <t>Uzgoj povrća, cvijeća i ukrasnog bilja u zaštićenim prostorima</t>
  </si>
  <si>
    <t>Uzgoj povrća, cvijeća i ukrasnog bilja na otvorenom</t>
  </si>
  <si>
    <t>Gljivarstvo i rasadničarstvo</t>
  </si>
  <si>
    <t>Vinogradarstvo i vinarstvo</t>
  </si>
  <si>
    <t>Voćarstvo</t>
  </si>
  <si>
    <t>Maslinarstvo</t>
  </si>
  <si>
    <t>Različite vrste trajnih nasada</t>
  </si>
  <si>
    <t>Mliječna goveda</t>
  </si>
  <si>
    <t>Uzgoj krava-tele</t>
  </si>
  <si>
    <t>Govedarstvo - kombinirano</t>
  </si>
  <si>
    <t>Ovce i koze</t>
  </si>
  <si>
    <t>Svinjogojstvo</t>
  </si>
  <si>
    <t>Peradarstvo</t>
  </si>
  <si>
    <t>Stočarstvo - kombinirano, uglavnom goveda, ovce i koze</t>
  </si>
  <si>
    <t>Stočarstvo - kombinirano, uglavnom svinje i perad</t>
  </si>
  <si>
    <t>Ratarski usjevi uz držanje goveda, ovaca i koza</t>
  </si>
  <si>
    <t>Različiti usjevi uz stočarstvo</t>
  </si>
  <si>
    <t>Poljoprivrednih gospodarstava s raznim kombinacijama granivorous</t>
  </si>
  <si>
    <t>površina</t>
  </si>
  <si>
    <t>ES14_1</t>
  </si>
  <si>
    <t>ES14_2</t>
  </si>
  <si>
    <t>ES14_3</t>
  </si>
  <si>
    <t>ES14_4</t>
  </si>
  <si>
    <t>ES14_5</t>
  </si>
  <si>
    <t>ES14_6</t>
  </si>
  <si>
    <t>ES14_7</t>
  </si>
  <si>
    <t>ES14_8</t>
  </si>
  <si>
    <t>ES14_9</t>
  </si>
  <si>
    <t>ES14_10</t>
  </si>
  <si>
    <t>ES14_11</t>
  </si>
  <si>
    <t>ES14_12</t>
  </si>
  <si>
    <t>ES14_13</t>
  </si>
  <si>
    <t>ES14_14</t>
  </si>
  <si>
    <t>ES9_1</t>
  </si>
  <si>
    <t>ES9_2</t>
  </si>
  <si>
    <t>ES9_3</t>
  </si>
  <si>
    <t>ES9_4</t>
  </si>
  <si>
    <t>ES9_5</t>
  </si>
  <si>
    <t>ES9_6</t>
  </si>
  <si>
    <t>ES9_7</t>
  </si>
  <si>
    <t>ES9_8</t>
  </si>
  <si>
    <t>ES9_9</t>
  </si>
  <si>
    <t>ES6_1</t>
  </si>
  <si>
    <t>ES6_2</t>
  </si>
  <si>
    <t>ES6_3</t>
  </si>
  <si>
    <t>ES6_4</t>
  </si>
  <si>
    <t>ES6_5</t>
  </si>
  <si>
    <t>ES6_6</t>
  </si>
  <si>
    <t>Zob</t>
  </si>
  <si>
    <t>Rye</t>
  </si>
  <si>
    <t>2.01.01.03.</t>
  </si>
  <si>
    <t>Raž</t>
  </si>
  <si>
    <t>2.01.01.05.</t>
  </si>
  <si>
    <t>D18B</t>
  </si>
  <si>
    <t>2.01.09.02.02</t>
  </si>
  <si>
    <t>Kukuruz za silažu</t>
  </si>
  <si>
    <t>D18B1</t>
  </si>
  <si>
    <t>2.01.09.02.01.</t>
  </si>
  <si>
    <t>2.04.01.02.</t>
  </si>
  <si>
    <t>2.01.09.02.99</t>
  </si>
  <si>
    <t>Rasadnici</t>
  </si>
  <si>
    <t>Stolne masline</t>
  </si>
  <si>
    <t>Pčelinje zajednice</t>
  </si>
  <si>
    <t>Oats</t>
  </si>
  <si>
    <t>Silage Corn</t>
  </si>
  <si>
    <t>-</t>
  </si>
  <si>
    <t>Kukuruz u zrnu</t>
  </si>
  <si>
    <t>2.04.01.01.01.</t>
  </si>
  <si>
    <t>+</t>
  </si>
  <si>
    <t>Uzgoj žitarica (osim riže), uljarica i proteinskih usjeva</t>
  </si>
  <si>
    <t>Uzgoj korjenastih usjeva</t>
  </si>
  <si>
    <t>Kombinirani uzgoj žitarica, uljarica, proteinskih i korjenastih usjeva</t>
  </si>
  <si>
    <t>Uzgoj povrća na oranicama</t>
  </si>
  <si>
    <t>Uzgoj duhana</t>
  </si>
  <si>
    <t>Kombinacija ostalih ratarskih usjeva</t>
  </si>
  <si>
    <t>Uzgoj povrća u zaštićenim prostorima</t>
  </si>
  <si>
    <t>Uzgoj cvijeća i ukrasnog bilja u zaštićenim prostorima</t>
  </si>
  <si>
    <t>Kombinirani uzgoj povrća, cvijeća i ukrasnog bilja u zaštićenim prostorima</t>
  </si>
  <si>
    <t>Uzgoj povrća na otvorenom</t>
  </si>
  <si>
    <t>Uzgoj cvijeća i ukrasnog bilja na otvorenom</t>
  </si>
  <si>
    <t>Kombinirani uzgoj povrća, cvijeća i ukrasnog bilja na otvorenom</t>
  </si>
  <si>
    <t>Uzgoj gljiva</t>
  </si>
  <si>
    <t>Uzgoj sjemena i sadnog materijala</t>
  </si>
  <si>
    <t>Ostale biljne vrste</t>
  </si>
  <si>
    <t>Uzgoj stolnog grožđa</t>
  </si>
  <si>
    <t>Ostalo</t>
  </si>
  <si>
    <t>Proizvodnja voća (osim agruma, tropskog i orašastog voća)</t>
  </si>
  <si>
    <t>Proizvodnja agruma</t>
  </si>
  <si>
    <t>Proizvodnja orašastog voća</t>
  </si>
  <si>
    <t>Proizvodnja tropskog voća</t>
  </si>
  <si>
    <t>Kombinirana proizvodnja različitih voćnih vrsta</t>
  </si>
  <si>
    <t>Uzgoj maslina</t>
  </si>
  <si>
    <t>Govedarstvo-kombinirano</t>
  </si>
  <si>
    <t>Ovčarstvo</t>
  </si>
  <si>
    <t>Kombinacija govedarstva i ovčarstva</t>
  </si>
  <si>
    <t>Kozarstvo</t>
  </si>
  <si>
    <t>Ostala stoka za ispašu</t>
  </si>
  <si>
    <t>Uzgoj svinja</t>
  </si>
  <si>
    <t>Tov svinja</t>
  </si>
  <si>
    <t>Uzgoj i tov svinja</t>
  </si>
  <si>
    <t>Proizvodnja jaja</t>
  </si>
  <si>
    <t>Proizvodnja mesa od peradi</t>
  </si>
  <si>
    <t>Proizvodnja jaja i mesa od peradi</t>
  </si>
  <si>
    <t>???</t>
  </si>
  <si>
    <t>Kombinacija povrtnih i voćnih kultura</t>
  </si>
  <si>
    <t>Kombinacija povrtnih i ratarskih kultura</t>
  </si>
  <si>
    <t>Kombinacija ratarskih kultura i vinogradarstva</t>
  </si>
  <si>
    <t>Kombinacija ratarskih i voćnih kultura</t>
  </si>
  <si>
    <t>Mješoviti usjevi uglavnom ratarskih kultura</t>
  </si>
  <si>
    <t>Ostali mješoviti usjevi</t>
  </si>
  <si>
    <t>Proizvodnja mlijeka-kombinirano</t>
  </si>
  <si>
    <t>Proizvodnja mesa-kombinirano</t>
  </si>
  <si>
    <t>Kombinirano-svinje, perad uz držanje goveda, ovaca i koza za proizvodnju mlijeka</t>
  </si>
  <si>
    <t>Kombinirano-svinje, perad uz držanje goveda, ovaca i koza za proizvodnju mesa</t>
  </si>
  <si>
    <t>Ratarski usjevi uz proizvodnju mlijeka</t>
  </si>
  <si>
    <t>Proizvodnja mlijeka uz ratarske usjeve</t>
  </si>
  <si>
    <t>Ratarski usjevi uz proizvodnju mesa</t>
  </si>
  <si>
    <t>Proizvodnja mesa uz ratarske usjeve</t>
  </si>
  <si>
    <t>Ratarski usjevi uz držanje svinja i peradi</t>
  </si>
  <si>
    <t>Voćarstvo, vinogradarstvo i maslinarstvo uz držanje goveda, ovaca i koza</t>
  </si>
  <si>
    <t>Pčelarstvo</t>
  </si>
  <si>
    <t>Ostali biljni usjevi uz stočarstvo</t>
  </si>
  <si>
    <t>formula za ek velicinu</t>
  </si>
  <si>
    <t>=IF(AND(ISERROR(ROMAN(Z83) &amp; " - " &amp;ROMAN(Z100) &amp; "  -   " &amp;ROMAN(Z112));TSO*A2 = 0);" "; IF(ISERROR(ROMAN(Z100));"ES14 : "&amp;ROMAN(Z83);"ES14 : " &amp;ROMAN(Z83) &amp; "  -  ES9 : " &amp;ROMAN(Z100) &amp; "  -   ES6 : " &amp;ROMAN(Z112)))</t>
  </si>
  <si>
    <t>ODABERITE REGIJU !!!</t>
  </si>
  <si>
    <t xml:space="preserve">Ratarstvo </t>
  </si>
  <si>
    <t xml:space="preserve">Povrćarstvo i cvjećarstvo </t>
  </si>
  <si>
    <t xml:space="preserve">Trajni nasadi </t>
  </si>
  <si>
    <t xml:space="preserve">Mliječno govedarstvo </t>
  </si>
  <si>
    <t xml:space="preserve">Govedarstvo, ovčarstvo i kozarstvo </t>
  </si>
  <si>
    <t xml:space="preserve">Svinjogojstvo i peradarstvo </t>
  </si>
  <si>
    <t>Mješovita poljoprivredna gospodarstva</t>
  </si>
  <si>
    <t>NOVA TIPOLOGIJA 2013</t>
  </si>
  <si>
    <t>ES5_1</t>
  </si>
  <si>
    <t>ES5_2</t>
  </si>
  <si>
    <t>ES5_3</t>
  </si>
  <si>
    <t>ES5_4</t>
  </si>
  <si>
    <t>ES5_5</t>
  </si>
  <si>
    <t>NOVI RAZREDI EK VELIČNE - ES5</t>
  </si>
  <si>
    <t>Neklasificirano poljoprivredno gospodarstvo</t>
  </si>
  <si>
    <t>Kontinentalna Hrvatska</t>
  </si>
  <si>
    <t>Kontinentalna RH</t>
  </si>
  <si>
    <t>Jadranska RH</t>
  </si>
  <si>
    <t>BILJNA PROIZVODNJA</t>
  </si>
  <si>
    <t>ŽITARICE</t>
  </si>
  <si>
    <t>ULJARICE</t>
  </si>
  <si>
    <t>KRMNO BILJE</t>
  </si>
  <si>
    <t>SJEME I SADNI MATERIJAL</t>
  </si>
  <si>
    <t>CVIJEĆE I UKRASNO BILJE</t>
  </si>
  <si>
    <t>POVRĆE, DINJE, LUBENICE I JAGODE</t>
  </si>
  <si>
    <t>VOĆARSTVO</t>
  </si>
  <si>
    <t>GROŽĐE</t>
  </si>
  <si>
    <t>STOČARSKA PROIZVODNJA</t>
  </si>
  <si>
    <t>KOPITARI</t>
  </si>
  <si>
    <t>GOVEDA</t>
  </si>
  <si>
    <t>OVCE</t>
  </si>
  <si>
    <t>KOZE</t>
  </si>
  <si>
    <t>SVINJE</t>
  </si>
  <si>
    <t>PERAD</t>
  </si>
  <si>
    <t>PČELE</t>
  </si>
  <si>
    <t xml:space="preserve"> ha</t>
  </si>
  <si>
    <t xml:space="preserve"> grla</t>
  </si>
  <si>
    <t xml:space="preserve"> košnica</t>
  </si>
  <si>
    <t>TIP POLJOPRIVREDNOG GOSPODARSTVA</t>
  </si>
  <si>
    <t>Naziv</t>
  </si>
  <si>
    <t>MIBPG</t>
  </si>
  <si>
    <t>Adresa</t>
  </si>
  <si>
    <t>e-mail</t>
  </si>
  <si>
    <t>OSNOVNI PODACI O POLJOPRIVREDNOM GOSPODARSTVU</t>
  </si>
  <si>
    <t>??</t>
  </si>
  <si>
    <t>Livade i trajni pašnjaci</t>
  </si>
  <si>
    <t>Jabuka</t>
  </si>
  <si>
    <t>Kruška</t>
  </si>
  <si>
    <t>Breskva i nektarina</t>
  </si>
  <si>
    <t>Marelica</t>
  </si>
  <si>
    <t>Trešnja</t>
  </si>
  <si>
    <t>Višnja</t>
  </si>
  <si>
    <t>Šljiva</t>
  </si>
  <si>
    <t>Malina</t>
  </si>
  <si>
    <t>Kupina</t>
  </si>
  <si>
    <t>Borovnica</t>
  </si>
  <si>
    <t>Ribizl</t>
  </si>
  <si>
    <t>Lupinasto voće (orah, lješnjak, kesten, badem)</t>
  </si>
  <si>
    <t>Telad &lt; 1 godine</t>
  </si>
  <si>
    <t>Konji i magarci (osim ponija)</t>
  </si>
  <si>
    <t>Junad 1 - 2 godine</t>
  </si>
  <si>
    <t>Junice 1 - 2 godine</t>
  </si>
  <si>
    <t>Junad &gt; 2 godine (uklj. bikove)</t>
  </si>
  <si>
    <t>Junice &gt; 2 godine</t>
  </si>
  <si>
    <t>Ostala goveda (krave u sustavu krava - tele, radne krave)</t>
  </si>
  <si>
    <t>Prasad (do 20 kg)</t>
  </si>
  <si>
    <t>Rasplodne krmače (teže od 50 kg)</t>
  </si>
  <si>
    <t>Svinje za tov (teže od 20 kg)</t>
  </si>
  <si>
    <t>Ostale svinje (teže od 20 kg)</t>
  </si>
  <si>
    <t>Ostala perad (purani, patke, guske i ostalo)</t>
  </si>
  <si>
    <t>Ostale ovce (uklj. janjad i rasplodne mužjake)</t>
  </si>
  <si>
    <t>Ostale koze (uklj. jariće i rasplodne mužjake)</t>
  </si>
  <si>
    <t xml:space="preserve"> kljunova</t>
  </si>
  <si>
    <t>unit</t>
  </si>
  <si>
    <t>NE BRIŠI!!!</t>
  </si>
  <si>
    <t>MASLINE</t>
  </si>
  <si>
    <t>Bobičasto voće (malina, kupina, ribizl, borovnica)</t>
  </si>
  <si>
    <t>Agrumi (mandarina, limun, naranča)</t>
  </si>
  <si>
    <t>Masline za proizvodnju ulja</t>
  </si>
  <si>
    <t>2.01.06.99.</t>
  </si>
  <si>
    <t>Broj tel/mob</t>
  </si>
  <si>
    <t>Specialist cereals (other than rice) oilseeds and protein crops</t>
  </si>
  <si>
    <t>Cereals, oilseeds, protein crops and rice combined</t>
  </si>
  <si>
    <t>Specialist root crops</t>
  </si>
  <si>
    <t>Cereals, oilseeds, protein crops and root crops combined</t>
  </si>
  <si>
    <t>Specialist field vegetables</t>
  </si>
  <si>
    <t>Specialist tobacco</t>
  </si>
  <si>
    <t>Various field crops combined</t>
  </si>
  <si>
    <t>Specialist vegetables indoor</t>
  </si>
  <si>
    <t>Specialist flowers and ornamentals indoor</t>
  </si>
  <si>
    <t>Mixed horticulture indoor specialist</t>
  </si>
  <si>
    <t>Specialist vegetables outdoor</t>
  </si>
  <si>
    <t>Specialist flowers and ornamentals outdoor</t>
  </si>
  <si>
    <t>Mixed horticulture outdoor specialist</t>
  </si>
  <si>
    <t>Specialist mushrooms</t>
  </si>
  <si>
    <t>Specialist nurseries</t>
  </si>
  <si>
    <t>Various horticulture</t>
  </si>
  <si>
    <t>Specialist rice</t>
  </si>
  <si>
    <t>Specialist cotton</t>
  </si>
  <si>
    <t>Specialist quality wine</t>
  </si>
  <si>
    <t>Specialist wine other than quality wine</t>
  </si>
  <si>
    <t xml:space="preserve">Specialist table grapes </t>
  </si>
  <si>
    <t xml:space="preserve">Other vineyards </t>
  </si>
  <si>
    <t>Specialist fruit (other than citrus, subtropical fruits or nuts)</t>
  </si>
  <si>
    <t>Specialist citrus fruit</t>
  </si>
  <si>
    <t>Specialist nuts</t>
  </si>
  <si>
    <t>Specialist subtropical fruits</t>
  </si>
  <si>
    <t>Specialist fruit, citrus, subtropical fruits and nuts: mixed production</t>
  </si>
  <si>
    <t>Specialist cattle - rearing and fattening</t>
  </si>
  <si>
    <t>Cattle - dairying, rearing and fattening combined</t>
  </si>
  <si>
    <t>Specialist sheep</t>
  </si>
  <si>
    <t>Sheep and cattle combined</t>
  </si>
  <si>
    <t>Specialist goats</t>
  </si>
  <si>
    <t xml:space="preserve">Various grazing livestock </t>
  </si>
  <si>
    <t>Specialist pig rearing</t>
  </si>
  <si>
    <t>Specialist pig fattening</t>
  </si>
  <si>
    <t>Pig rearing and fattening combined</t>
  </si>
  <si>
    <t>Specialist laying hens</t>
  </si>
  <si>
    <t>Specialist poultry-meat</t>
  </si>
  <si>
    <t>Laying hens and poultry-meat combined</t>
  </si>
  <si>
    <t>Horticulture and permanent crops combined</t>
  </si>
  <si>
    <t>Field crops and horticulture combined</t>
  </si>
  <si>
    <t>Field crops and vineyards combined</t>
  </si>
  <si>
    <t>Field crops and permanent crops combined</t>
  </si>
  <si>
    <t>Mixed cropping, mainly field crops</t>
  </si>
  <si>
    <t>Other mixed cropping</t>
  </si>
  <si>
    <t>Mixed livestock, mainly dairying</t>
  </si>
  <si>
    <t>Mixed livestock, mainly non-dairying grazing livestock</t>
  </si>
  <si>
    <t>Mixed livestock: granivores and dairying combined</t>
  </si>
  <si>
    <t xml:space="preserve">Mixed livestock: granivores and non-dairying grazing livestock </t>
  </si>
  <si>
    <t>Field crops combined with dairying</t>
  </si>
  <si>
    <t>Dairying combined with field crops</t>
  </si>
  <si>
    <t>Field crops combined with non-dairying grazing livestock</t>
  </si>
  <si>
    <t>Non-dairying grazing livestock combined with field crops</t>
  </si>
  <si>
    <t>Field crops and granivores combined</t>
  </si>
  <si>
    <t>Permanent crops and grazing livestock combined</t>
  </si>
  <si>
    <t>Apiculture</t>
  </si>
  <si>
    <t>Various mixed crops and livestock</t>
  </si>
  <si>
    <t xml:space="preserve">Non clasified </t>
  </si>
  <si>
    <t>TIPOLOGIJA 2014</t>
  </si>
  <si>
    <t>UKUPNA KORIŠTENA
POLJOPRIVREDNA POVRŠINA</t>
  </si>
  <si>
    <t xml:space="preserve">UKUPAN BROJ ŽIVOTINJA </t>
  </si>
  <si>
    <t>VRIJEDNOST PROIZVODNJE</t>
  </si>
  <si>
    <t>u kunama</t>
  </si>
  <si>
    <t>u eurima</t>
  </si>
  <si>
    <t>2.000 - 4.000 €</t>
  </si>
  <si>
    <t>4.000 - 8.000 €</t>
  </si>
  <si>
    <t>8.000 - 15.000 €</t>
  </si>
  <si>
    <t>15.000 - 25.000 €</t>
  </si>
  <si>
    <t>25.000 - 50.000 €</t>
  </si>
  <si>
    <t>50.000 - 100.000 €</t>
  </si>
  <si>
    <t>100.000 - 250.000 €</t>
  </si>
  <si>
    <t>250.000 - 500.000 €</t>
  </si>
  <si>
    <t>500.000 - 750.000 €</t>
  </si>
  <si>
    <t>750.000 - 1.000.000 €</t>
  </si>
  <si>
    <t>&gt; 3.000.000 €</t>
  </si>
  <si>
    <t>1.500.000 - 3.000.000 €</t>
  </si>
  <si>
    <t>1.000.000 - 1.500.000 €</t>
  </si>
  <si>
    <t>RAZRED EKONOMSKE VELIČINE (ES 14)</t>
  </si>
  <si>
    <t>&lt; 2.000 €</t>
  </si>
  <si>
    <t>Kombinacija žitarica, uljarica I proteinskih usjeva</t>
  </si>
  <si>
    <t>Proizvodnja ostalih vina</t>
  </si>
  <si>
    <t>Proizvodnja kvalitetnih vina (sa ZOI)</t>
  </si>
  <si>
    <t>Cvijeće i ukrasno bilje (plastenici, staklenici)</t>
  </si>
  <si>
    <t>Povrće, dinje, lubenice, jagode (oranice)</t>
  </si>
  <si>
    <t>Povrće, dinje, lubenice, jagode (plastični tuneli)</t>
  </si>
  <si>
    <t>Povrće, dinje, lubenice, jagode (staklenici, plastenici)</t>
  </si>
  <si>
    <t>Ostale uljarice (ricinus, sezam, gorčica, mak, uljne tikve)</t>
  </si>
  <si>
    <t>Duhan</t>
  </si>
  <si>
    <t>Šećerna repa</t>
  </si>
  <si>
    <t>Grožđe za kvalitetna vina (sa ZOI)</t>
  </si>
  <si>
    <t>Grožđe za ostala vina (bez ZOI)</t>
  </si>
  <si>
    <t>Trave i djetelinsko-travne smjese</t>
  </si>
  <si>
    <t>Krmno korijenje i kupusnjače</t>
  </si>
  <si>
    <t>Stočni grašak, grah i ostale mahunarke</t>
  </si>
  <si>
    <t>Ostale žitarice (pravi pir, tritikale, proso, sirak, heljda)</t>
  </si>
  <si>
    <t>promjena 17.12.2014.</t>
  </si>
  <si>
    <t>x</t>
  </si>
  <si>
    <t>b</t>
  </si>
  <si>
    <t>k</t>
  </si>
  <si>
    <t>Jezgričasto voće (jabuka, kruška, dunja)</t>
  </si>
  <si>
    <t>Koštičavo voće (šljiva, trešnja, višnja, breskva, marelica)</t>
  </si>
  <si>
    <t>IZJAVA</t>
  </si>
  <si>
    <t>o proizvodnim resursima poljoprivrednog gospodarstva</t>
  </si>
  <si>
    <t>Podaci o poljoprivrednom gospodarstvu</t>
  </si>
  <si>
    <t>naziv poljoprivrednog gospodarstva</t>
  </si>
  <si>
    <t>adresa</t>
  </si>
  <si>
    <t>kontakt broj</t>
  </si>
  <si>
    <t>e-mail adresa</t>
  </si>
  <si>
    <t>predmet izjave</t>
  </si>
  <si>
    <t>U svojstvu nositelja / člana poljoprivrednog gospodarstva izjavljujem da sam za izračun ekonomske veličine poljoprivrednog gospodarstva službeniku Savjetodavne službe dao realne i stvarne podatke o resursima korištenim u proizvodnji biljnih usjeva i stočarskoj proizvodnji koji se odnose na proizvodnu ili kalendarsku godinu za koju su podaci dostupni.
Također, dati podaci odgovaraju podacima iz dostupnih administrativnih izvora (ARKOD, JRDŽ i sl.), koje sam dao na uvid.
Ovu izjavu sam u potpunosti pročitao/la te je u znak suglasnosti potpisujem.</t>
  </si>
  <si>
    <t>potpis poljoprivrednika</t>
  </si>
  <si>
    <t>Mjesto i datum</t>
  </si>
  <si>
    <t>mjesto</t>
  </si>
  <si>
    <t>datum</t>
  </si>
  <si>
    <t>IZRAČUN</t>
  </si>
  <si>
    <t>predmet</t>
  </si>
  <si>
    <t xml:space="preserve">ekonomska veličina </t>
  </si>
  <si>
    <t>Službenik Savjetodavne službe</t>
  </si>
  <si>
    <t>FADN oznaka *</t>
  </si>
  <si>
    <t>ime i prezime</t>
  </si>
  <si>
    <t>potpis</t>
  </si>
  <si>
    <t>Privitci</t>
  </si>
  <si>
    <t>2) Izjava o proizvodnim resursima poljoprivrednog gospodarstva</t>
  </si>
  <si>
    <t>Puževi</t>
  </si>
  <si>
    <t>m2</t>
  </si>
  <si>
    <t>Gljive</t>
  </si>
  <si>
    <t>GLJIVE</t>
  </si>
  <si>
    <t>PUŽEVI</t>
  </si>
  <si>
    <t>Kunići</t>
  </si>
  <si>
    <t>Breading feemales</t>
  </si>
  <si>
    <t>3.06.</t>
  </si>
  <si>
    <t>3.08.</t>
  </si>
  <si>
    <t>2.06.01.</t>
  </si>
  <si>
    <t>Horticulture and mushrooms</t>
  </si>
  <si>
    <t>KUNIĆI</t>
  </si>
  <si>
    <t>=AND(PN2_23=TRUE;_2.06.01&gt;_2T)</t>
  </si>
  <si>
    <t>FADN</t>
  </si>
  <si>
    <t>čl.9</t>
  </si>
  <si>
    <t xml:space="preserve">uvjetno grlo </t>
  </si>
  <si>
    <t>UG / ha</t>
  </si>
  <si>
    <t>Kunići (rasplodne ženke)</t>
  </si>
  <si>
    <t xml:space="preserve"> UG/ha</t>
  </si>
  <si>
    <t>Ugari</t>
  </si>
  <si>
    <t>Cvijeće i ukrasno bilje (oranice, plastični tuneli)</t>
  </si>
  <si>
    <t>Ovaj dokument izdaje se u svrhu:</t>
  </si>
  <si>
    <t>broj krmača</t>
  </si>
  <si>
    <t>tov svinja</t>
  </si>
  <si>
    <t>nesilice</t>
  </si>
  <si>
    <t>TIP</t>
  </si>
  <si>
    <t>MIN</t>
  </si>
  <si>
    <t>MAX</t>
  </si>
  <si>
    <t>SNAGA</t>
  </si>
  <si>
    <t>ostalo</t>
  </si>
  <si>
    <t>POTREBNA SNAGA TRAKTORA</t>
  </si>
  <si>
    <t>Formula</t>
  </si>
  <si>
    <t>KW</t>
  </si>
  <si>
    <t>prijave za M04, operaciju 4.1.1. PRR-a 2014. - 2020.</t>
  </si>
  <si>
    <t>prijave za M04, operaciju 4.1.2. PRR-a 2014. - 2020.</t>
  </si>
  <si>
    <t>prijave za M04, operaciju 4.1.3. PRR-a 2014. - 2020.</t>
  </si>
  <si>
    <t>prijave za M06, podmjeru 6.1. PRR-a 2014. - 2020.</t>
  </si>
  <si>
    <t>prijave za M06, podmjeru 6.2. PRR-a 2014. - 2020.</t>
  </si>
  <si>
    <t>prijave za M06, podmjeru 6.3. PRR-a 2014. - 2020.</t>
  </si>
  <si>
    <t>prijave za M06, podmjeru 6.4. PRR-a 2014. - 2020.</t>
  </si>
  <si>
    <t>zahtjeva za isplatu za M04, podmjeru 4.1.</t>
  </si>
  <si>
    <t>zahtjeva za isplatu I. rate za M06, podmjeru 6.1.</t>
  </si>
  <si>
    <t>prijave za potpore LAG-a</t>
  </si>
  <si>
    <t>POVRŠINE IZ UGOVORA O USLUŽNOM RASIPANJU GNOJIVA</t>
  </si>
  <si>
    <t>uredba 808/2014</t>
  </si>
  <si>
    <t>izmjena 8.5.2017 Akcijski program</t>
  </si>
  <si>
    <t>Kombinirano svinje i perad</t>
  </si>
  <si>
    <t>=AND(PN2_53=TRUE;_PN3_511=FALSE;_PN3_512=FALSE;_PN3_513=FALSE;_PN3_521=FALSE;_PN3_522=FALSE)</t>
  </si>
  <si>
    <t>mjere MO3, PRR-a 2014. - 2020.</t>
  </si>
  <si>
    <t>zahtjeva za isplatu zadnje rate za M06, podmjeru 6.1.</t>
  </si>
  <si>
    <t>zahtjeva za isplatu zadnje rate za M06, podmjeru 6.3.</t>
  </si>
  <si>
    <t>oznakaFiche</t>
  </si>
  <si>
    <t>Ostalo industrijsko bilje (cikorija i sl.)</t>
  </si>
  <si>
    <t>Lucerna i djetelina</t>
  </si>
  <si>
    <t>30100, 30200</t>
  </si>
  <si>
    <t xml:space="preserve">Sjeme i sadni materijal </t>
  </si>
  <si>
    <t>311</t>
  </si>
  <si>
    <t>3.04.99.01.</t>
  </si>
  <si>
    <t>3.04.99.02.</t>
  </si>
  <si>
    <t>700</t>
  </si>
  <si>
    <t>nema SO2013</t>
  </si>
  <si>
    <t>2.01.09.01.</t>
  </si>
  <si>
    <t>tvrda pšenica-durum</t>
  </si>
  <si>
    <t>stavke koje nedostaju</t>
  </si>
  <si>
    <t>2.01.01.02.</t>
  </si>
  <si>
    <t>2.03.02.</t>
  </si>
  <si>
    <t>Ostale suhe mahunarke</t>
  </si>
  <si>
    <t>2.01.09.02.99.</t>
  </si>
  <si>
    <t>Ostali krmni usjevi (stočni sirak)</t>
  </si>
  <si>
    <t xml:space="preserve">2.01.02.02 </t>
  </si>
  <si>
    <t>Trajni travnjaci i livade  -ekstenzivni (krški) pašnjaci</t>
  </si>
  <si>
    <t>2.04.01.01.02.</t>
  </si>
  <si>
    <t>Nasadi voća suptropskog klimata</t>
  </si>
  <si>
    <t>2.04.04.04.</t>
  </si>
  <si>
    <t>Vinogradi -grožđice</t>
  </si>
  <si>
    <t>2.04.06.</t>
  </si>
  <si>
    <t>Ostali trajni nasadi</t>
  </si>
  <si>
    <t>2.04.06.01.</t>
  </si>
  <si>
    <t>Božićna drvca</t>
  </si>
  <si>
    <t>Košaračka vrba</t>
  </si>
  <si>
    <t>2.04.06.02.</t>
  </si>
  <si>
    <t>nema SO2013, unesen nacionalni</t>
  </si>
  <si>
    <t>Ostale svinje (za tov)</t>
  </si>
  <si>
    <t>ekonomske veličine poljoprivrednog gospodarstva (EVPG)</t>
  </si>
  <si>
    <t>1) EVPG kalkulator 2018. (ispis)</t>
  </si>
  <si>
    <t>Ekonomska Veličina Poljoprivrednog Gospodarstva</t>
  </si>
  <si>
    <t>Uvidom u podatke iz ARKOD sustava o korištenim poljoprivrednim površinama, podatke iz Jedinstvenog registra domaćih životinja (JRDŽ), odnosno podatke temeljene na Izjave o proizvodnim resursima poljoprivrednog gospodarstva, te primjenom EVPG kalkulatora 2018 proveden je izračun ekonomske veličine poljoprivrednog gospodarstva.</t>
  </si>
  <si>
    <t>izbornik</t>
  </si>
  <si>
    <t>rb.</t>
  </si>
  <si>
    <t>izmjena 30.1.2018</t>
  </si>
  <si>
    <t>Ostale žitarice (pravi pir, tritikale, proso, sirak, heljda...)*</t>
  </si>
  <si>
    <t>Ostale uljarice (ricinus, sezam, gorčica, mak, uljne tikve...)*</t>
  </si>
  <si>
    <t>Ostalo industrijsko bilje *</t>
  </si>
  <si>
    <t>Jezgričasto voće (jabuka, kruška, dunja...)*</t>
  </si>
  <si>
    <t>Koštičavo voće (šljiva, trešnja, višnja, breskva, marelica...)*</t>
  </si>
  <si>
    <t>Bobičasto voće (malina, kupina, ribizl, borovnica...)*</t>
  </si>
  <si>
    <t>Lupinasto voće (orah, lješnjak, kesten, badem...)*</t>
  </si>
  <si>
    <t>Agrumi (mandarina, limun, naranča...)*</t>
  </si>
  <si>
    <t>2.04.06.01</t>
  </si>
  <si>
    <t>40610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</si>
</sst>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\ _k_n_-;\-* #,##0.00\ _k_n_-;_-* &quot;-&quot;??\ _k_n_-;_-@_-"/>
    <numFmt numFmtId="164" formatCode="#,##0.0000"/>
    <numFmt numFmtId="165" formatCode="[$-F800]dddd\,\ mmmm\ dd\,\ yyyy"/>
    <numFmt numFmtId="166" formatCode="#,##0.000"/>
    <numFmt numFmtId="167" formatCode="0.0000"/>
    <numFmt numFmtId="168" formatCode="#,##0.000000"/>
  </numFmts>
  <fonts count="61" x14ac:knownFonts="1">
    <font>
      <sz val="10"/>
      <name val="Arial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  <charset val="238"/>
    </font>
    <font>
      <u/>
      <sz val="10"/>
      <color indexed="36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  <charset val="238"/>
    </font>
    <font>
      <b/>
      <sz val="11"/>
      <name val="Arial"/>
      <family val="2"/>
    </font>
    <font>
      <sz val="10"/>
      <color indexed="16"/>
      <name val="Arial"/>
      <family val="2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6"/>
      <name val="Arial"/>
      <family val="2"/>
      <charset val="238"/>
    </font>
    <font>
      <b/>
      <sz val="10"/>
      <color indexed="16"/>
      <name val="Arial"/>
      <family val="2"/>
      <charset val="238"/>
    </font>
    <font>
      <b/>
      <sz val="14"/>
      <color indexed="56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20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sz val="10"/>
      <name val="Arial Narrow"/>
      <family val="2"/>
      <charset val="238"/>
    </font>
    <font>
      <sz val="3"/>
      <name val="Arial Narrow"/>
      <family val="2"/>
      <charset val="238"/>
    </font>
    <font>
      <sz val="8"/>
      <name val="Arial Narrow"/>
      <family val="2"/>
      <charset val="238"/>
    </font>
    <font>
      <b/>
      <sz val="3"/>
      <name val="Arial Narrow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36"/>
      <name val="Tahoma"/>
      <family val="2"/>
      <charset val="238"/>
    </font>
    <font>
      <sz val="1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10"/>
      <color theme="0" tint="-0.499984740745262"/>
      <name val="Arial"/>
      <family val="2"/>
    </font>
    <font>
      <sz val="10"/>
      <color theme="0" tint="-0.499984740745262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6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b/>
      <sz val="14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2"/>
      <color theme="5" tint="-0.249977111117893"/>
      <name val="Arial"/>
      <family val="2"/>
      <charset val="238"/>
    </font>
    <font>
      <b/>
      <i/>
      <sz val="10"/>
      <color theme="5" tint="-0.249977111117893"/>
      <name val="Arial"/>
      <family val="2"/>
      <charset val="238"/>
    </font>
    <font>
      <sz val="9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0"/>
      <name val="Arial Narrow"/>
      <family val="2"/>
      <charset val="238"/>
    </font>
    <font>
      <b/>
      <sz val="12"/>
      <color rgb="FFCF2407"/>
      <name val="Arial"/>
      <family val="2"/>
      <charset val="238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6"/>
      <color theme="0"/>
      <name val="Arial"/>
      <family val="2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theme="0"/>
      <name val="Arial"/>
      <family val="2"/>
      <charset val="238"/>
    </font>
    <font>
      <b/>
      <sz val="11"/>
      <color theme="1" tint="0.34998626667073579"/>
      <name val="Arial"/>
      <family val="2"/>
      <charset val="238"/>
    </font>
    <font>
      <b/>
      <sz val="12"/>
      <color rgb="FFCF2407"/>
      <name val="Calibri"/>
      <family val="2"/>
      <charset val="238"/>
      <scheme val="minor"/>
    </font>
    <font>
      <b/>
      <sz val="12"/>
      <color rgb="FFFF0000"/>
      <name val="Arial"/>
      <family val="2"/>
      <charset val="238"/>
    </font>
  </fonts>
  <fills count="2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DE5CE"/>
        <bgColor indexed="64"/>
      </patternFill>
    </fill>
    <fill>
      <patternFill patternType="solid">
        <fgColor rgb="FFE7E4D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DBAA"/>
        <bgColor indexed="64"/>
      </patternFill>
    </fill>
    <fill>
      <gradientFill degree="90">
        <stop position="0">
          <color theme="0"/>
        </stop>
        <stop position="1">
          <color rgb="FFFCDBAA"/>
        </stop>
      </gradientFill>
    </fill>
    <fill>
      <patternFill patternType="solid">
        <fgColor theme="7" tint="0.79998168889431442"/>
        <bgColor indexed="64"/>
      </patternFill>
    </fill>
  </fills>
  <borders count="7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17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theme="6" tint="-0.499984740745262"/>
      </left>
      <right/>
      <top style="thick">
        <color theme="6" tint="-0.499984740745262"/>
      </top>
      <bottom/>
      <diagonal/>
    </border>
    <border>
      <left/>
      <right/>
      <top style="thick">
        <color theme="6" tint="-0.499984740745262"/>
      </top>
      <bottom/>
      <diagonal/>
    </border>
    <border>
      <left style="thick">
        <color theme="6" tint="-0.499984740745262"/>
      </left>
      <right/>
      <top/>
      <bottom/>
      <diagonal/>
    </border>
    <border>
      <left style="thick">
        <color theme="6" tint="-0.499984740745262"/>
      </left>
      <right/>
      <top/>
      <bottom style="thick">
        <color theme="6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theme="6" tint="-0.499984740745262"/>
      </bottom>
      <diagonal/>
    </border>
    <border>
      <left style="thick">
        <color theme="6" tint="-0.24994659260841701"/>
      </left>
      <right/>
      <top style="thick">
        <color theme="6" tint="-0.24994659260841701"/>
      </top>
      <bottom/>
      <diagonal/>
    </border>
    <border>
      <left/>
      <right/>
      <top style="thick">
        <color theme="6" tint="-0.24994659260841701"/>
      </top>
      <bottom/>
      <diagonal/>
    </border>
    <border>
      <left style="thick">
        <color theme="6" tint="-0.24994659260841701"/>
      </left>
      <right/>
      <top/>
      <bottom/>
      <diagonal/>
    </border>
    <border>
      <left style="thick">
        <color theme="6" tint="-0.24994659260841701"/>
      </left>
      <right/>
      <top/>
      <bottom style="thick">
        <color theme="6" tint="-0.24994659260841701"/>
      </bottom>
      <diagonal/>
    </border>
    <border>
      <left/>
      <right/>
      <top/>
      <bottom style="thick">
        <color theme="6" tint="-0.24994659260841701"/>
      </bottom>
      <diagonal/>
    </border>
    <border>
      <left/>
      <right/>
      <top/>
      <bottom style="thick">
        <color theme="6" tint="-0.499984740745262"/>
      </bottom>
      <diagonal/>
    </border>
    <border>
      <left style="thick">
        <color theme="6" tint="0.39994506668294322"/>
      </left>
      <right/>
      <top style="thick">
        <color theme="6" tint="0.39994506668294322"/>
      </top>
      <bottom/>
      <diagonal/>
    </border>
    <border>
      <left/>
      <right/>
      <top style="thick">
        <color theme="6" tint="0.39994506668294322"/>
      </top>
      <bottom/>
      <diagonal/>
    </border>
    <border>
      <left/>
      <right style="thick">
        <color theme="6" tint="0.39994506668294322"/>
      </right>
      <top style="thick">
        <color theme="6" tint="0.39994506668294322"/>
      </top>
      <bottom/>
      <diagonal/>
    </border>
    <border>
      <left style="thick">
        <color theme="6" tint="0.39994506668294322"/>
      </left>
      <right/>
      <top/>
      <bottom/>
      <diagonal/>
    </border>
    <border>
      <left/>
      <right style="thick">
        <color theme="6" tint="0.39994506668294322"/>
      </right>
      <top/>
      <bottom/>
      <diagonal/>
    </border>
    <border>
      <left/>
      <right/>
      <top/>
      <bottom style="thick">
        <color theme="6" tint="0.39994506668294322"/>
      </bottom>
      <diagonal/>
    </border>
    <border>
      <left/>
      <right style="thick">
        <color theme="6" tint="0.39994506668294322"/>
      </right>
      <top/>
      <bottom style="thick">
        <color theme="6" tint="0.39994506668294322"/>
      </bottom>
      <diagonal/>
    </border>
    <border>
      <left style="thick">
        <color theme="5" tint="-0.499984740745262"/>
      </left>
      <right/>
      <top style="thick">
        <color theme="5" tint="-0.499984740745262"/>
      </top>
      <bottom/>
      <diagonal/>
    </border>
    <border>
      <left/>
      <right/>
      <top style="thick">
        <color theme="5" tint="-0.499984740745262"/>
      </top>
      <bottom/>
      <diagonal/>
    </border>
    <border>
      <left/>
      <right style="thick">
        <color theme="5" tint="-0.499984740745262"/>
      </right>
      <top style="thick">
        <color theme="5" tint="-0.499984740745262"/>
      </top>
      <bottom/>
      <diagonal/>
    </border>
    <border>
      <left style="thick">
        <color theme="5" tint="-0.499984740745262"/>
      </left>
      <right/>
      <top/>
      <bottom/>
      <diagonal/>
    </border>
    <border>
      <left/>
      <right style="thick">
        <color theme="5" tint="-0.499984740745262"/>
      </right>
      <top/>
      <bottom/>
      <diagonal/>
    </border>
    <border>
      <left style="thick">
        <color theme="5" tint="-0.499984740745262"/>
      </left>
      <right/>
      <top/>
      <bottom style="thick">
        <color theme="5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/>
      <right style="thick">
        <color theme="5" tint="-0.499984740745262"/>
      </right>
      <top/>
      <bottom style="thick">
        <color theme="5" tint="-0.499984740745262"/>
      </bottom>
      <diagonal/>
    </border>
    <border>
      <left style="thick">
        <color theme="5" tint="-0.24994659260841701"/>
      </left>
      <right/>
      <top style="thick">
        <color theme="5" tint="-0.24994659260841701"/>
      </top>
      <bottom/>
      <diagonal/>
    </border>
    <border>
      <left/>
      <right/>
      <top style="thick">
        <color theme="5" tint="-0.24994659260841701"/>
      </top>
      <bottom/>
      <diagonal/>
    </border>
    <border>
      <left/>
      <right style="thick">
        <color theme="5" tint="-0.24994659260841701"/>
      </right>
      <top style="thick">
        <color theme="5" tint="-0.24994659260841701"/>
      </top>
      <bottom/>
      <diagonal/>
    </border>
    <border>
      <left style="thick">
        <color theme="5" tint="-0.24994659260841701"/>
      </left>
      <right/>
      <top/>
      <bottom/>
      <diagonal/>
    </border>
    <border>
      <left/>
      <right style="thick">
        <color theme="5" tint="-0.24994659260841701"/>
      </right>
      <top/>
      <bottom/>
      <diagonal/>
    </border>
    <border>
      <left style="thick">
        <color theme="5" tint="-0.24994659260841701"/>
      </left>
      <right/>
      <top/>
      <bottom style="thick">
        <color theme="5" tint="-0.24994659260841701"/>
      </bottom>
      <diagonal/>
    </border>
    <border>
      <left/>
      <right/>
      <top/>
      <bottom style="thick">
        <color theme="5" tint="-0.24994659260841701"/>
      </bottom>
      <diagonal/>
    </border>
    <border>
      <left/>
      <right style="thick">
        <color theme="5" tint="-0.24994659260841701"/>
      </right>
      <top/>
      <bottom style="thick">
        <color theme="5" tint="-0.24994659260841701"/>
      </bottom>
      <diagonal/>
    </border>
    <border>
      <left style="thick">
        <color theme="5" tint="0.39994506668294322"/>
      </left>
      <right/>
      <top style="thick">
        <color theme="5" tint="0.39994506668294322"/>
      </top>
      <bottom/>
      <diagonal/>
    </border>
    <border>
      <left/>
      <right/>
      <top style="thick">
        <color theme="5" tint="0.39994506668294322"/>
      </top>
      <bottom/>
      <diagonal/>
    </border>
    <border>
      <left/>
      <right style="thick">
        <color theme="5" tint="0.39994506668294322"/>
      </right>
      <top style="thick">
        <color theme="5" tint="0.39994506668294322"/>
      </top>
      <bottom/>
      <diagonal/>
    </border>
    <border>
      <left style="thick">
        <color theme="5" tint="0.39994506668294322"/>
      </left>
      <right/>
      <top/>
      <bottom/>
      <diagonal/>
    </border>
    <border>
      <left/>
      <right style="thick">
        <color theme="5" tint="0.39994506668294322"/>
      </right>
      <top/>
      <bottom/>
      <diagonal/>
    </border>
    <border>
      <left style="thick">
        <color theme="5" tint="0.39994506668294322"/>
      </left>
      <right/>
      <top/>
      <bottom style="thick">
        <color theme="5" tint="0.39994506668294322"/>
      </bottom>
      <diagonal/>
    </border>
    <border>
      <left/>
      <right/>
      <top/>
      <bottom style="thick">
        <color theme="5" tint="0.39994506668294322"/>
      </bottom>
      <diagonal/>
    </border>
    <border>
      <left/>
      <right style="thick">
        <color theme="5" tint="0.39994506668294322"/>
      </right>
      <top/>
      <bottom style="thick">
        <color theme="5" tint="0.3999450666829432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5" tint="-0.24994659260841701"/>
      </left>
      <right/>
      <top/>
      <bottom/>
      <diagonal/>
    </border>
    <border>
      <left style="thin">
        <color rgb="FF655E39"/>
      </left>
      <right style="thin">
        <color rgb="FF655E39"/>
      </right>
      <top style="thin">
        <color rgb="FF655E39"/>
      </top>
      <bottom style="thin">
        <color rgb="FF655E39"/>
      </bottom>
      <diagonal/>
    </border>
    <border>
      <left/>
      <right/>
      <top/>
      <bottom style="thick">
        <color theme="7" tint="0.39994506668294322"/>
      </bottom>
      <diagonal/>
    </border>
    <border>
      <left/>
      <right/>
      <top style="thick">
        <color theme="0" tint="-0.34998626667073579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rgb="FF655E39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hair">
        <color indexed="64"/>
      </bottom>
      <diagonal/>
    </border>
    <border>
      <left style="thick">
        <color rgb="FFFF0000"/>
      </left>
      <right style="thick">
        <color rgb="FFFF0000"/>
      </right>
      <top style="hair">
        <color indexed="64"/>
      </top>
      <bottom style="thick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655E39"/>
      </left>
      <right/>
      <top style="thin">
        <color rgb="FF655E39"/>
      </top>
      <bottom/>
      <diagonal/>
    </border>
    <border>
      <left/>
      <right style="thin">
        <color rgb="FF655E39"/>
      </right>
      <top style="thin">
        <color rgb="FF655E39"/>
      </top>
      <bottom/>
      <diagonal/>
    </border>
    <border>
      <left style="thin">
        <color rgb="FF655E39"/>
      </left>
      <right/>
      <top/>
      <bottom style="thin">
        <color rgb="FF655E39"/>
      </bottom>
      <diagonal/>
    </border>
    <border>
      <left/>
      <right/>
      <top/>
      <bottom style="thin">
        <color rgb="FF655E39"/>
      </bottom>
      <diagonal/>
    </border>
    <border>
      <left/>
      <right style="thin">
        <color rgb="FF655E39"/>
      </right>
      <top/>
      <bottom style="thin">
        <color rgb="FF655E39"/>
      </bottom>
      <diagonal/>
    </border>
  </borders>
  <cellStyleXfs count="13">
    <xf numFmtId="4" fontId="0" fillId="0" borderId="0"/>
    <xf numFmtId="0" fontId="31" fillId="4" borderId="0" applyNumberFormat="0" applyBorder="0" applyAlignment="0" applyProtection="0"/>
    <xf numFmtId="0" fontId="32" fillId="5" borderId="0" applyNumberFormat="0" applyBorder="0" applyAlignment="0" applyProtection="0"/>
    <xf numFmtId="4" fontId="1" fillId="0" borderId="0" applyFill="0" applyBorder="0" applyAlignment="0" applyProtection="0"/>
    <xf numFmtId="0" fontId="34" fillId="6" borderId="0" applyNumberFormat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4" fontId="1" fillId="0" borderId="0"/>
    <xf numFmtId="0" fontId="1" fillId="0" borderId="0"/>
    <xf numFmtId="0" fontId="3" fillId="0" borderId="0"/>
    <xf numFmtId="0" fontId="3" fillId="0" borderId="0"/>
    <xf numFmtId="0" fontId="9" fillId="0" borderId="0"/>
    <xf numFmtId="0" fontId="26" fillId="7" borderId="8" applyNumberFormat="0" applyFont="0" applyAlignment="0" applyProtection="0"/>
  </cellStyleXfs>
  <cellXfs count="356">
    <xf numFmtId="4" fontId="0" fillId="0" borderId="0" xfId="0"/>
    <xf numFmtId="4" fontId="1" fillId="0" borderId="0" xfId="0" applyFont="1"/>
    <xf numFmtId="0" fontId="4" fillId="0" borderId="0" xfId="3" applyNumberFormat="1" applyFont="1" applyFill="1" applyBorder="1" applyProtection="1"/>
    <xf numFmtId="0" fontId="5" fillId="0" borderId="0" xfId="3" applyNumberFormat="1" applyFont="1" applyFill="1" applyProtection="1"/>
    <xf numFmtId="0" fontId="8" fillId="0" borderId="0" xfId="3" applyNumberFormat="1" applyFont="1" applyFill="1" applyBorder="1" applyAlignment="1" applyProtection="1">
      <alignment horizontal="left"/>
    </xf>
    <xf numFmtId="3" fontId="4" fillId="0" borderId="0" xfId="0" applyNumberFormat="1" applyFont="1" applyFill="1" applyBorder="1" applyAlignment="1" applyProtection="1">
      <alignment horizontal="left"/>
    </xf>
    <xf numFmtId="0" fontId="4" fillId="0" borderId="0" xfId="3" applyNumberFormat="1" applyFont="1" applyFill="1" applyAlignment="1" applyProtection="1">
      <alignment horizontal="left"/>
    </xf>
    <xf numFmtId="0" fontId="5" fillId="0" borderId="0" xfId="3" applyNumberFormat="1" applyFont="1" applyFill="1" applyBorder="1" applyProtection="1"/>
    <xf numFmtId="4" fontId="4" fillId="0" borderId="0" xfId="0" applyFont="1" applyFill="1" applyBorder="1" applyProtection="1"/>
    <xf numFmtId="0" fontId="2" fillId="0" borderId="0" xfId="10" applyFont="1" applyFill="1" applyBorder="1" applyAlignment="1" applyProtection="1">
      <alignment horizontal="left"/>
    </xf>
    <xf numFmtId="3" fontId="5" fillId="0" borderId="0" xfId="3" applyNumberFormat="1" applyFont="1" applyFill="1" applyBorder="1" applyProtection="1"/>
    <xf numFmtId="4" fontId="5" fillId="0" borderId="0" xfId="0" applyFont="1" applyFill="1" applyProtection="1"/>
    <xf numFmtId="0" fontId="9" fillId="2" borderId="1" xfId="11" applyFill="1" applyBorder="1" applyAlignment="1" applyProtection="1">
      <alignment horizontal="left" vertical="top" wrapText="1"/>
    </xf>
    <xf numFmtId="0" fontId="9" fillId="0" borderId="1" xfId="11" applyBorder="1" applyAlignment="1" applyProtection="1">
      <alignment horizontal="left" vertical="top" wrapText="1"/>
    </xf>
    <xf numFmtId="1" fontId="9" fillId="0" borderId="1" xfId="11" quotePrefix="1" applyNumberFormat="1" applyBorder="1" applyAlignment="1" applyProtection="1">
      <alignment horizontal="left" vertical="top" wrapText="1"/>
    </xf>
    <xf numFmtId="3" fontId="5" fillId="0" borderId="0" xfId="0" applyNumberFormat="1" applyFont="1" applyFill="1" applyBorder="1" applyProtection="1"/>
    <xf numFmtId="3" fontId="5" fillId="0" borderId="0" xfId="3" applyNumberFormat="1" applyFont="1" applyFill="1" applyBorder="1" applyAlignment="1" applyProtection="1">
      <alignment horizontal="center" vertical="center"/>
    </xf>
    <xf numFmtId="0" fontId="5" fillId="0" borderId="0" xfId="9" applyFont="1" applyFill="1" applyBorder="1" applyAlignment="1" applyProtection="1">
      <alignment horizontal="left" wrapText="1"/>
    </xf>
    <xf numFmtId="0" fontId="9" fillId="0" borderId="1" xfId="11" quotePrefix="1" applyBorder="1" applyAlignment="1" applyProtection="1">
      <alignment horizontal="left" vertical="top" wrapText="1"/>
    </xf>
    <xf numFmtId="0" fontId="9" fillId="0" borderId="1" xfId="11" applyBorder="1" applyAlignment="1" applyProtection="1"/>
    <xf numFmtId="0" fontId="9" fillId="0" borderId="1" xfId="11" applyFont="1" applyBorder="1" applyAlignment="1" applyProtection="1">
      <alignment wrapText="1"/>
    </xf>
    <xf numFmtId="0" fontId="5" fillId="3" borderId="0" xfId="3" applyNumberFormat="1" applyFont="1" applyFill="1" applyProtection="1"/>
    <xf numFmtId="0" fontId="9" fillId="2" borderId="0" xfId="11" applyFill="1" applyBorder="1" applyAlignment="1" applyProtection="1">
      <alignment horizontal="left" vertical="top" wrapText="1"/>
    </xf>
    <xf numFmtId="0" fontId="9" fillId="0" borderId="0" xfId="11" quotePrefix="1" applyBorder="1" applyAlignment="1" applyProtection="1">
      <alignment horizontal="left" vertical="top" wrapText="1"/>
    </xf>
    <xf numFmtId="0" fontId="5" fillId="0" borderId="0" xfId="3" applyNumberFormat="1" applyFont="1" applyFill="1" applyAlignment="1" applyProtection="1">
      <alignment vertical="top"/>
    </xf>
    <xf numFmtId="0" fontId="35" fillId="0" borderId="0" xfId="3" applyNumberFormat="1" applyFont="1" applyFill="1" applyProtection="1"/>
    <xf numFmtId="0" fontId="5" fillId="0" borderId="9" xfId="3" applyNumberFormat="1" applyFont="1" applyFill="1" applyBorder="1" applyProtection="1"/>
    <xf numFmtId="0" fontId="5" fillId="0" borderId="10" xfId="3" applyNumberFormat="1" applyFont="1" applyFill="1" applyBorder="1" applyProtection="1"/>
    <xf numFmtId="0" fontId="4" fillId="0" borderId="10" xfId="3" applyNumberFormat="1" applyFont="1" applyFill="1" applyBorder="1" applyProtection="1"/>
    <xf numFmtId="0" fontId="5" fillId="0" borderId="11" xfId="3" applyNumberFormat="1" applyFont="1" applyFill="1" applyBorder="1" applyProtection="1"/>
    <xf numFmtId="0" fontId="4" fillId="0" borderId="0" xfId="3" applyNumberFormat="1" applyFont="1" applyFill="1" applyBorder="1" applyAlignment="1" applyProtection="1">
      <alignment horizontal="right"/>
    </xf>
    <xf numFmtId="0" fontId="5" fillId="0" borderId="12" xfId="3" applyNumberFormat="1" applyFont="1" applyFill="1" applyBorder="1" applyProtection="1"/>
    <xf numFmtId="0" fontId="9" fillId="0" borderId="13" xfId="11" applyBorder="1" applyAlignment="1" applyProtection="1"/>
    <xf numFmtId="0" fontId="1" fillId="0" borderId="13" xfId="11" applyFont="1" applyBorder="1" applyAlignment="1" applyProtection="1"/>
    <xf numFmtId="0" fontId="5" fillId="0" borderId="14" xfId="3" applyNumberFormat="1" applyFont="1" applyFill="1" applyBorder="1" applyProtection="1"/>
    <xf numFmtId="0" fontId="5" fillId="0" borderId="15" xfId="3" applyNumberFormat="1" applyFont="1" applyFill="1" applyBorder="1" applyProtection="1"/>
    <xf numFmtId="0" fontId="4" fillId="0" borderId="15" xfId="3" applyNumberFormat="1" applyFont="1" applyFill="1" applyBorder="1" applyProtection="1"/>
    <xf numFmtId="0" fontId="5" fillId="0" borderId="16" xfId="3" applyNumberFormat="1" applyFont="1" applyFill="1" applyBorder="1" applyProtection="1"/>
    <xf numFmtId="0" fontId="5" fillId="0" borderId="17" xfId="3" applyNumberFormat="1" applyFont="1" applyFill="1" applyBorder="1" applyProtection="1"/>
    <xf numFmtId="0" fontId="5" fillId="0" borderId="18" xfId="3" applyNumberFormat="1" applyFont="1" applyFill="1" applyBorder="1" applyProtection="1"/>
    <xf numFmtId="0" fontId="5" fillId="0" borderId="19" xfId="3" applyNumberFormat="1" applyFont="1" applyFill="1" applyBorder="1" applyProtection="1"/>
    <xf numFmtId="0" fontId="5" fillId="0" borderId="20" xfId="3" applyNumberFormat="1" applyFont="1" applyFill="1" applyBorder="1" applyProtection="1"/>
    <xf numFmtId="0" fontId="5" fillId="0" borderId="21" xfId="3" applyNumberFormat="1" applyFont="1" applyFill="1" applyBorder="1" applyProtection="1"/>
    <xf numFmtId="0" fontId="12" fillId="0" borderId="21" xfId="3" applyNumberFormat="1" applyFont="1" applyFill="1" applyBorder="1" applyAlignment="1" applyProtection="1">
      <alignment horizontal="right" vertical="center"/>
    </xf>
    <xf numFmtId="0" fontId="5" fillId="0" borderId="22" xfId="3" applyNumberFormat="1" applyFont="1" applyFill="1" applyBorder="1" applyProtection="1"/>
    <xf numFmtId="0" fontId="5" fillId="0" borderId="23" xfId="3" applyNumberFormat="1" applyFont="1" applyFill="1" applyBorder="1" applyProtection="1"/>
    <xf numFmtId="0" fontId="12" fillId="0" borderId="0" xfId="3" applyNumberFormat="1" applyFont="1" applyFill="1" applyBorder="1" applyAlignment="1" applyProtection="1">
      <alignment horizontal="right" vertical="center"/>
    </xf>
    <xf numFmtId="0" fontId="5" fillId="0" borderId="24" xfId="3" applyNumberFormat="1" applyFont="1" applyFill="1" applyBorder="1" applyProtection="1"/>
    <xf numFmtId="0" fontId="36" fillId="0" borderId="0" xfId="3" applyNumberFormat="1" applyFont="1" applyFill="1" applyBorder="1" applyProtection="1"/>
    <xf numFmtId="0" fontId="5" fillId="8" borderId="0" xfId="3" applyNumberFormat="1" applyFont="1" applyFill="1" applyBorder="1" applyProtection="1"/>
    <xf numFmtId="0" fontId="5" fillId="0" borderId="25" xfId="3" applyNumberFormat="1" applyFont="1" applyFill="1" applyBorder="1" applyProtection="1"/>
    <xf numFmtId="0" fontId="5" fillId="0" borderId="26" xfId="3" applyNumberFormat="1" applyFont="1" applyFill="1" applyBorder="1" applyProtection="1"/>
    <xf numFmtId="0" fontId="5" fillId="0" borderId="27" xfId="3" applyNumberFormat="1" applyFont="1" applyFill="1" applyBorder="1" applyProtection="1"/>
    <xf numFmtId="0" fontId="5" fillId="0" borderId="28" xfId="3" applyNumberFormat="1" applyFont="1" applyFill="1" applyBorder="1" applyProtection="1"/>
    <xf numFmtId="0" fontId="5" fillId="0" borderId="29" xfId="3" applyNumberFormat="1" applyFont="1" applyFill="1" applyBorder="1" applyProtection="1"/>
    <xf numFmtId="0" fontId="5" fillId="0" borderId="30" xfId="3" applyNumberFormat="1" applyFont="1" applyFill="1" applyBorder="1" applyProtection="1"/>
    <xf numFmtId="0" fontId="5" fillId="0" borderId="31" xfId="3" applyNumberFormat="1" applyFont="1" applyFill="1" applyBorder="1" applyProtection="1"/>
    <xf numFmtId="0" fontId="5" fillId="0" borderId="32" xfId="3" applyNumberFormat="1" applyFont="1" applyFill="1" applyBorder="1" applyProtection="1"/>
    <xf numFmtId="0" fontId="5" fillId="0" borderId="33" xfId="3" applyNumberFormat="1" applyFont="1" applyFill="1" applyBorder="1" applyProtection="1"/>
    <xf numFmtId="0" fontId="5" fillId="0" borderId="34" xfId="3" applyNumberFormat="1" applyFont="1" applyFill="1" applyBorder="1" applyProtection="1"/>
    <xf numFmtId="0" fontId="5" fillId="0" borderId="35" xfId="3" applyNumberFormat="1" applyFont="1" applyFill="1" applyBorder="1" applyProtection="1"/>
    <xf numFmtId="0" fontId="5" fillId="0" borderId="36" xfId="3" applyNumberFormat="1" applyFont="1" applyFill="1" applyBorder="1" applyProtection="1"/>
    <xf numFmtId="0" fontId="5" fillId="3" borderId="36" xfId="3" applyNumberFormat="1" applyFont="1" applyFill="1" applyBorder="1" applyProtection="1"/>
    <xf numFmtId="0" fontId="5" fillId="0" borderId="37" xfId="3" applyNumberFormat="1" applyFont="1" applyFill="1" applyBorder="1" applyProtection="1"/>
    <xf numFmtId="0" fontId="5" fillId="0" borderId="38" xfId="3" applyNumberFormat="1" applyFont="1" applyFill="1" applyBorder="1" applyProtection="1"/>
    <xf numFmtId="0" fontId="5" fillId="0" borderId="39" xfId="3" applyNumberFormat="1" applyFont="1" applyFill="1" applyBorder="1" applyProtection="1"/>
    <xf numFmtId="0" fontId="5" fillId="0" borderId="40" xfId="3" applyNumberFormat="1" applyFont="1" applyFill="1" applyBorder="1" applyProtection="1"/>
    <xf numFmtId="0" fontId="5" fillId="0" borderId="41" xfId="3" applyNumberFormat="1" applyFont="1" applyFill="1" applyBorder="1" applyProtection="1"/>
    <xf numFmtId="0" fontId="5" fillId="0" borderId="42" xfId="3" applyNumberFormat="1" applyFont="1" applyFill="1" applyBorder="1" applyProtection="1"/>
    <xf numFmtId="0" fontId="5" fillId="0" borderId="43" xfId="3" applyNumberFormat="1" applyFont="1" applyFill="1" applyBorder="1" applyProtection="1"/>
    <xf numFmtId="0" fontId="5" fillId="0" borderId="44" xfId="3" applyNumberFormat="1" applyFont="1" applyFill="1" applyBorder="1" applyProtection="1"/>
    <xf numFmtId="0" fontId="5" fillId="3" borderId="44" xfId="3" applyNumberFormat="1" applyFont="1" applyFill="1" applyBorder="1" applyProtection="1"/>
    <xf numFmtId="0" fontId="5" fillId="0" borderId="45" xfId="3" applyNumberFormat="1" applyFont="1" applyFill="1" applyBorder="1" applyProtection="1"/>
    <xf numFmtId="0" fontId="5" fillId="0" borderId="46" xfId="3" applyNumberFormat="1" applyFont="1" applyFill="1" applyBorder="1" applyProtection="1"/>
    <xf numFmtId="0" fontId="5" fillId="0" borderId="47" xfId="3" applyNumberFormat="1" applyFont="1" applyFill="1" applyBorder="1" applyProtection="1"/>
    <xf numFmtId="0" fontId="5" fillId="0" borderId="48" xfId="3" applyNumberFormat="1" applyFont="1" applyFill="1" applyBorder="1" applyProtection="1"/>
    <xf numFmtId="0" fontId="5" fillId="0" borderId="49" xfId="3" applyNumberFormat="1" applyFont="1" applyFill="1" applyBorder="1" applyProtection="1"/>
    <xf numFmtId="0" fontId="5" fillId="0" borderId="50" xfId="3" applyNumberFormat="1" applyFont="1" applyFill="1" applyBorder="1" applyProtection="1"/>
    <xf numFmtId="4" fontId="4" fillId="0" borderId="0" xfId="0" applyFont="1" applyFill="1" applyBorder="1" applyAlignment="1" applyProtection="1"/>
    <xf numFmtId="1" fontId="5" fillId="0" borderId="0" xfId="3" quotePrefix="1" applyNumberFormat="1" applyFont="1" applyFill="1" applyProtection="1"/>
    <xf numFmtId="0" fontId="5" fillId="0" borderId="0" xfId="10" quotePrefix="1" applyFont="1" applyFill="1" applyBorder="1" applyAlignment="1" applyProtection="1">
      <alignment horizontal="left" vertical="center"/>
    </xf>
    <xf numFmtId="4" fontId="5" fillId="0" borderId="2" xfId="3" applyNumberFormat="1" applyFont="1" applyFill="1" applyBorder="1" applyAlignment="1" applyProtection="1">
      <alignment vertical="center"/>
    </xf>
    <xf numFmtId="0" fontId="5" fillId="0" borderId="0" xfId="3" applyNumberFormat="1" applyFont="1" applyFill="1" applyAlignment="1" applyProtection="1">
      <alignment vertical="center"/>
    </xf>
    <xf numFmtId="0" fontId="12" fillId="0" borderId="15" xfId="3" applyNumberFormat="1" applyFont="1" applyFill="1" applyBorder="1" applyProtection="1"/>
    <xf numFmtId="0" fontId="5" fillId="9" borderId="11" xfId="3" applyNumberFormat="1" applyFont="1" applyFill="1" applyBorder="1" applyProtection="1"/>
    <xf numFmtId="0" fontId="9" fillId="9" borderId="1" xfId="11" applyFill="1" applyBorder="1" applyAlignment="1" applyProtection="1"/>
    <xf numFmtId="0" fontId="12" fillId="9" borderId="1" xfId="11" applyFont="1" applyFill="1" applyBorder="1" applyAlignment="1" applyProtection="1"/>
    <xf numFmtId="0" fontId="5" fillId="9" borderId="0" xfId="3" applyNumberFormat="1" applyFont="1" applyFill="1" applyBorder="1" applyProtection="1"/>
    <xf numFmtId="0" fontId="4" fillId="10" borderId="10" xfId="3" applyNumberFormat="1" applyFont="1" applyFill="1" applyBorder="1" applyProtection="1"/>
    <xf numFmtId="0" fontId="4" fillId="10" borderId="0" xfId="3" applyNumberFormat="1" applyFont="1" applyFill="1" applyBorder="1" applyAlignment="1" applyProtection="1">
      <alignment horizontal="right"/>
    </xf>
    <xf numFmtId="0" fontId="5" fillId="11" borderId="46" xfId="3" applyNumberFormat="1" applyFont="1" applyFill="1" applyBorder="1" applyProtection="1"/>
    <xf numFmtId="0" fontId="5" fillId="11" borderId="0" xfId="3" applyNumberFormat="1" applyFont="1" applyFill="1" applyBorder="1" applyProtection="1"/>
    <xf numFmtId="0" fontId="5" fillId="11" borderId="47" xfId="3" applyNumberFormat="1" applyFont="1" applyFill="1" applyBorder="1" applyProtection="1"/>
    <xf numFmtId="0" fontId="5" fillId="12" borderId="44" xfId="3" applyNumberFormat="1" applyFont="1" applyFill="1" applyBorder="1" applyProtection="1"/>
    <xf numFmtId="0" fontId="5" fillId="0" borderId="51" xfId="10" applyFont="1" applyFill="1" applyBorder="1" applyAlignment="1" applyProtection="1">
      <alignment horizontal="left" vertical="center"/>
    </xf>
    <xf numFmtId="0" fontId="5" fillId="0" borderId="51" xfId="10" applyFont="1" applyFill="1" applyBorder="1" applyAlignment="1" applyProtection="1">
      <alignment vertical="center"/>
    </xf>
    <xf numFmtId="0" fontId="5" fillId="0" borderId="0" xfId="3" applyNumberFormat="1" applyFont="1" applyFill="1" applyAlignment="1" applyProtection="1">
      <alignment horizontal="center"/>
    </xf>
    <xf numFmtId="4" fontId="5" fillId="0" borderId="0" xfId="0" applyFont="1" applyFill="1" applyBorder="1" applyProtection="1"/>
    <xf numFmtId="0" fontId="8" fillId="0" borderId="0" xfId="3" applyNumberFormat="1" applyFont="1" applyFill="1" applyBorder="1" applyAlignment="1" applyProtection="1">
      <alignment horizontal="left" vertical="center"/>
    </xf>
    <xf numFmtId="4" fontId="1" fillId="13" borderId="0" xfId="3" applyFill="1" applyBorder="1" applyAlignment="1" applyProtection="1">
      <alignment horizontal="left" vertical="center"/>
    </xf>
    <xf numFmtId="0" fontId="14" fillId="0" borderId="0" xfId="3" applyNumberFormat="1" applyFont="1" applyFill="1" applyBorder="1" applyAlignment="1" applyProtection="1">
      <alignment vertical="top"/>
    </xf>
    <xf numFmtId="4" fontId="1" fillId="0" borderId="51" xfId="10" applyNumberFormat="1" applyFont="1" applyFill="1" applyBorder="1" applyAlignment="1" applyProtection="1">
      <alignment vertical="center"/>
    </xf>
    <xf numFmtId="4" fontId="5" fillId="0" borderId="51" xfId="10" applyNumberFormat="1" applyFont="1" applyFill="1" applyBorder="1" applyAlignment="1" applyProtection="1">
      <alignment horizontal="left" vertical="center"/>
    </xf>
    <xf numFmtId="4" fontId="5" fillId="14" borderId="0" xfId="3" applyNumberFormat="1" applyFont="1" applyFill="1" applyProtection="1"/>
    <xf numFmtId="4" fontId="5" fillId="10" borderId="0" xfId="3" applyNumberFormat="1" applyFont="1" applyFill="1" applyProtection="1"/>
    <xf numFmtId="4" fontId="5" fillId="9" borderId="0" xfId="3" applyNumberFormat="1" applyFont="1" applyFill="1" applyProtection="1"/>
    <xf numFmtId="4" fontId="5" fillId="9" borderId="0" xfId="3" applyNumberFormat="1" applyFont="1" applyFill="1" applyAlignment="1" applyProtection="1">
      <alignment horizontal="right"/>
    </xf>
    <xf numFmtId="0" fontId="12" fillId="0" borderId="0" xfId="3" applyNumberFormat="1" applyFont="1" applyFill="1" applyBorder="1" applyAlignment="1" applyProtection="1">
      <alignment vertical="center"/>
    </xf>
    <xf numFmtId="3" fontId="4" fillId="0" borderId="0" xfId="0" applyNumberFormat="1" applyFont="1" applyFill="1" applyBorder="1" applyAlignment="1" applyProtection="1">
      <alignment horizontal="right"/>
    </xf>
    <xf numFmtId="0" fontId="4" fillId="0" borderId="0" xfId="3" applyNumberFormat="1" applyFont="1" applyFill="1" applyBorder="1" applyAlignment="1" applyProtection="1">
      <alignment vertical="center"/>
    </xf>
    <xf numFmtId="0" fontId="5" fillId="0" borderId="0" xfId="3" applyNumberFormat="1" applyFont="1" applyFill="1" applyBorder="1" applyAlignment="1" applyProtection="1">
      <alignment vertical="center"/>
    </xf>
    <xf numFmtId="0" fontId="11" fillId="0" borderId="0" xfId="3" applyNumberFormat="1" applyFont="1" applyFill="1" applyBorder="1" applyAlignment="1" applyProtection="1">
      <alignment vertical="center"/>
    </xf>
    <xf numFmtId="0" fontId="12" fillId="0" borderId="0" xfId="3" applyNumberFormat="1" applyFont="1" applyFill="1" applyAlignment="1" applyProtection="1"/>
    <xf numFmtId="0" fontId="15" fillId="0" borderId="0" xfId="3" applyNumberFormat="1" applyFont="1" applyFill="1" applyAlignment="1" applyProtection="1"/>
    <xf numFmtId="0" fontId="37" fillId="0" borderId="0" xfId="3" applyNumberFormat="1" applyFont="1" applyFill="1" applyAlignment="1" applyProtection="1">
      <alignment vertical="center"/>
    </xf>
    <xf numFmtId="0" fontId="38" fillId="0" borderId="0" xfId="1" applyNumberFormat="1" applyFont="1" applyFill="1" applyAlignment="1" applyProtection="1"/>
    <xf numFmtId="0" fontId="38" fillId="0" borderId="0" xfId="1" applyNumberFormat="1" applyFont="1" applyFill="1" applyProtection="1"/>
    <xf numFmtId="4" fontId="39" fillId="0" borderId="0" xfId="0" applyFont="1" applyProtection="1"/>
    <xf numFmtId="0" fontId="40" fillId="0" borderId="0" xfId="3" applyNumberFormat="1" applyFont="1" applyFill="1" applyProtection="1"/>
    <xf numFmtId="164" fontId="40" fillId="0" borderId="0" xfId="3" applyNumberFormat="1" applyFont="1" applyFill="1" applyAlignment="1" applyProtection="1">
      <alignment horizontal="left"/>
    </xf>
    <xf numFmtId="4" fontId="40" fillId="0" borderId="0" xfId="0" applyFont="1" applyProtection="1"/>
    <xf numFmtId="0" fontId="38" fillId="0" borderId="0" xfId="1" applyNumberFormat="1" applyFont="1" applyFill="1" applyAlignment="1" applyProtection="1">
      <alignment horizontal="center" vertical="center"/>
    </xf>
    <xf numFmtId="1" fontId="41" fillId="0" borderId="3" xfId="2" quotePrefix="1" applyNumberFormat="1" applyFont="1" applyFill="1" applyBorder="1" applyAlignment="1" applyProtection="1">
      <alignment horizontal="center" vertical="center"/>
      <protection locked="0"/>
    </xf>
    <xf numFmtId="4" fontId="5" fillId="0" borderId="2" xfId="3" applyNumberFormat="1" applyFont="1" applyFill="1" applyBorder="1" applyAlignment="1" applyProtection="1"/>
    <xf numFmtId="4" fontId="42" fillId="0" borderId="2" xfId="3" applyNumberFormat="1" applyFont="1" applyFill="1" applyBorder="1" applyAlignment="1" applyProtection="1">
      <alignment vertical="center"/>
      <protection locked="0"/>
    </xf>
    <xf numFmtId="4" fontId="43" fillId="0" borderId="0" xfId="0" applyFont="1"/>
    <xf numFmtId="4" fontId="43" fillId="0" borderId="0" xfId="0" applyFont="1" applyFill="1"/>
    <xf numFmtId="0" fontId="10" fillId="0" borderId="0" xfId="3" applyNumberFormat="1" applyFont="1" applyFill="1" applyBorder="1" applyProtection="1"/>
    <xf numFmtId="0" fontId="44" fillId="0" borderId="0" xfId="3" applyNumberFormat="1" applyFont="1" applyFill="1" applyBorder="1" applyProtection="1"/>
    <xf numFmtId="0" fontId="5" fillId="0" borderId="52" xfId="3" applyNumberFormat="1" applyFont="1" applyFill="1" applyBorder="1" applyProtection="1"/>
    <xf numFmtId="3" fontId="4" fillId="0" borderId="52" xfId="3" applyNumberFormat="1" applyFont="1" applyFill="1" applyBorder="1" applyAlignment="1" applyProtection="1">
      <alignment horizontal="right" indent="1"/>
    </xf>
    <xf numFmtId="0" fontId="12" fillId="0" borderId="52" xfId="3" applyNumberFormat="1" applyFont="1" applyFill="1" applyBorder="1" applyAlignment="1" applyProtection="1">
      <alignment horizontal="right" indent="1"/>
    </xf>
    <xf numFmtId="0" fontId="5" fillId="0" borderId="52" xfId="3" applyNumberFormat="1" applyFont="1" applyFill="1" applyBorder="1" applyAlignment="1" applyProtection="1">
      <alignment horizontal="right" indent="1"/>
    </xf>
    <xf numFmtId="0" fontId="18" fillId="0" borderId="0" xfId="3" applyNumberFormat="1" applyFont="1" applyFill="1" applyAlignment="1" applyProtection="1">
      <alignment vertical="center"/>
    </xf>
    <xf numFmtId="0" fontId="18" fillId="0" borderId="0" xfId="3" applyNumberFormat="1" applyFont="1" applyFill="1" applyBorder="1" applyAlignment="1" applyProtection="1">
      <alignment horizontal="left" vertical="center"/>
    </xf>
    <xf numFmtId="0" fontId="5" fillId="0" borderId="0" xfId="3" applyNumberFormat="1" applyFont="1" applyFill="1" applyProtection="1">
      <protection hidden="1"/>
    </xf>
    <xf numFmtId="4" fontId="1" fillId="0" borderId="0" xfId="7"/>
    <xf numFmtId="4" fontId="19" fillId="0" borderId="0" xfId="7" applyFont="1" applyAlignment="1">
      <alignment horizontal="right" vertical="center" indent="3"/>
    </xf>
    <xf numFmtId="4" fontId="20" fillId="0" borderId="0" xfId="7" applyFont="1" applyAlignment="1">
      <alignment horizontal="right" vertical="center" indent="3"/>
    </xf>
    <xf numFmtId="4" fontId="21" fillId="0" borderId="0" xfId="7" applyFont="1" applyAlignment="1">
      <alignment vertical="center"/>
    </xf>
    <xf numFmtId="4" fontId="20" fillId="0" borderId="0" xfId="7" applyFont="1" applyAlignment="1">
      <alignment vertical="center"/>
    </xf>
    <xf numFmtId="4" fontId="21" fillId="0" borderId="4" xfId="7" applyFont="1" applyBorder="1" applyAlignment="1">
      <alignment horizontal="right" vertical="center" wrapText="1" indent="1"/>
    </xf>
    <xf numFmtId="4" fontId="22" fillId="0" borderId="0" xfId="7" applyFont="1" applyAlignment="1">
      <alignment vertical="center" wrapText="1"/>
    </xf>
    <xf numFmtId="4" fontId="21" fillId="0" borderId="4" xfId="7" applyFont="1" applyBorder="1" applyAlignment="1">
      <alignment horizontal="right" vertical="center" wrapText="1"/>
    </xf>
    <xf numFmtId="4" fontId="23" fillId="0" borderId="0" xfId="7" applyFont="1" applyAlignment="1">
      <alignment vertical="center" wrapText="1"/>
    </xf>
    <xf numFmtId="4" fontId="20" fillId="0" borderId="0" xfId="7" applyFont="1" applyAlignment="1">
      <alignment horizontal="left" vertical="center" indent="1"/>
    </xf>
    <xf numFmtId="4" fontId="20" fillId="0" borderId="0" xfId="7" applyFont="1" applyAlignment="1">
      <alignment horizontal="center" vertical="center" wrapText="1"/>
    </xf>
    <xf numFmtId="4" fontId="20" fillId="0" borderId="0" xfId="7" applyFont="1" applyFill="1" applyAlignment="1">
      <alignment vertical="center" wrapText="1"/>
    </xf>
    <xf numFmtId="4" fontId="21" fillId="0" borderId="4" xfId="7" applyFont="1" applyBorder="1" applyAlignment="1">
      <alignment horizontal="right" vertical="top" wrapText="1" indent="1"/>
    </xf>
    <xf numFmtId="4" fontId="22" fillId="0" borderId="5" xfId="7" applyFont="1" applyBorder="1" applyAlignment="1">
      <alignment vertical="center" wrapText="1"/>
    </xf>
    <xf numFmtId="4" fontId="23" fillId="0" borderId="4" xfId="7" applyFont="1" applyBorder="1" applyAlignment="1">
      <alignment vertical="center" wrapText="1"/>
    </xf>
    <xf numFmtId="4" fontId="22" fillId="0" borderId="0" xfId="7" applyFont="1" applyBorder="1" applyAlignment="1">
      <alignment vertical="center" wrapText="1"/>
    </xf>
    <xf numFmtId="4" fontId="21" fillId="0" borderId="3" xfId="7" applyFont="1" applyBorder="1" applyAlignment="1">
      <alignment horizontal="justify" vertical="center" wrapText="1"/>
    </xf>
    <xf numFmtId="4" fontId="17" fillId="0" borderId="0" xfId="7" applyFont="1" applyAlignment="1">
      <alignment vertical="center" wrapText="1"/>
    </xf>
    <xf numFmtId="4" fontId="40" fillId="0" borderId="0" xfId="7" applyFont="1"/>
    <xf numFmtId="14" fontId="45" fillId="0" borderId="0" xfId="3" applyNumberFormat="1" applyFont="1" applyFill="1" applyProtection="1"/>
    <xf numFmtId="4" fontId="1" fillId="0" borderId="0" xfId="7" applyFill="1"/>
    <xf numFmtId="4" fontId="40" fillId="0" borderId="0" xfId="7" quotePrefix="1" applyFont="1"/>
    <xf numFmtId="0" fontId="17" fillId="0" borderId="0" xfId="3" applyNumberFormat="1" applyFont="1" applyFill="1" applyBorder="1" applyProtection="1"/>
    <xf numFmtId="0" fontId="18" fillId="0" borderId="0" xfId="3" applyNumberFormat="1" applyFont="1" applyFill="1" applyBorder="1" applyAlignment="1" applyProtection="1">
      <alignment vertical="center"/>
      <protection hidden="1"/>
    </xf>
    <xf numFmtId="0" fontId="17" fillId="0" borderId="0" xfId="3" applyNumberFormat="1" applyFont="1" applyFill="1" applyBorder="1" applyAlignment="1" applyProtection="1">
      <alignment vertical="center"/>
    </xf>
    <xf numFmtId="0" fontId="1" fillId="2" borderId="1" xfId="11" applyFont="1" applyFill="1" applyBorder="1" applyAlignment="1" applyProtection="1">
      <alignment horizontal="left" vertical="top" wrapText="1"/>
    </xf>
    <xf numFmtId="0" fontId="5" fillId="15" borderId="0" xfId="3" applyNumberFormat="1" applyFont="1" applyFill="1" applyBorder="1" applyProtection="1"/>
    <xf numFmtId="1" fontId="1" fillId="0" borderId="1" xfId="11" quotePrefix="1" applyNumberFormat="1" applyFont="1" applyBorder="1" applyAlignment="1" applyProtection="1">
      <alignment horizontal="left" vertical="top" wrapText="1"/>
    </xf>
    <xf numFmtId="0" fontId="5" fillId="0" borderId="0" xfId="3" quotePrefix="1" applyNumberFormat="1" applyFont="1" applyFill="1" applyProtection="1"/>
    <xf numFmtId="0" fontId="5" fillId="0" borderId="0" xfId="3" quotePrefix="1" applyNumberFormat="1" applyFont="1" applyFill="1" applyBorder="1" applyProtection="1"/>
    <xf numFmtId="166" fontId="0" fillId="0" borderId="0" xfId="0" applyNumberFormat="1"/>
    <xf numFmtId="4" fontId="1" fillId="0" borderId="0" xfId="7" applyFont="1"/>
    <xf numFmtId="0" fontId="5" fillId="0" borderId="1" xfId="3" applyNumberFormat="1" applyFont="1" applyFill="1" applyBorder="1" applyProtection="1"/>
    <xf numFmtId="0" fontId="9" fillId="0" borderId="1" xfId="11" applyFill="1" applyBorder="1" applyAlignment="1" applyProtection="1"/>
    <xf numFmtId="4" fontId="22" fillId="0" borderId="0" xfId="7" applyFont="1" applyFill="1" applyAlignment="1">
      <alignment vertical="center"/>
    </xf>
    <xf numFmtId="4" fontId="23" fillId="0" borderId="0" xfId="7" applyFont="1" applyAlignment="1">
      <alignment horizontal="center" vertical="center"/>
    </xf>
    <xf numFmtId="4" fontId="22" fillId="0" borderId="0" xfId="7" applyFont="1" applyBorder="1" applyAlignment="1">
      <alignment vertical="center"/>
    </xf>
    <xf numFmtId="4" fontId="1" fillId="0" borderId="0" xfId="7" applyAlignment="1"/>
    <xf numFmtId="4" fontId="1" fillId="0" borderId="0" xfId="3" applyNumberFormat="1" applyFont="1" applyFill="1" applyBorder="1" applyAlignment="1" applyProtection="1">
      <alignment horizontal="center"/>
    </xf>
    <xf numFmtId="0" fontId="4" fillId="0" borderId="0" xfId="3" applyNumberFormat="1" applyFont="1" applyFill="1" applyBorder="1" applyAlignment="1" applyProtection="1">
      <alignment horizontal="center"/>
    </xf>
    <xf numFmtId="0" fontId="5" fillId="0" borderId="0" xfId="3" applyNumberFormat="1" applyFont="1" applyFill="1" applyBorder="1" applyAlignment="1" applyProtection="1">
      <alignment horizontal="center"/>
    </xf>
    <xf numFmtId="3" fontId="5" fillId="0" borderId="0" xfId="3" applyNumberFormat="1" applyFont="1" applyFill="1" applyBorder="1" applyAlignment="1" applyProtection="1">
      <alignment horizontal="center"/>
    </xf>
    <xf numFmtId="0" fontId="46" fillId="0" borderId="0" xfId="3" applyNumberFormat="1" applyFont="1" applyFill="1" applyBorder="1" applyAlignment="1" applyProtection="1">
      <alignment horizontal="left" vertical="center"/>
    </xf>
    <xf numFmtId="4" fontId="13" fillId="0" borderId="0" xfId="3" applyFont="1" applyFill="1" applyAlignment="1">
      <alignment horizontal="right" vertical="center" indent="4"/>
    </xf>
    <xf numFmtId="0" fontId="47" fillId="0" borderId="0" xfId="3" applyNumberFormat="1" applyFont="1" applyFill="1" applyAlignment="1" applyProtection="1">
      <alignment vertical="center"/>
    </xf>
    <xf numFmtId="4" fontId="40" fillId="0" borderId="0" xfId="0" applyFont="1" applyFill="1" applyProtection="1"/>
    <xf numFmtId="4" fontId="1" fillId="0" borderId="0" xfId="0" applyFont="1" applyFill="1"/>
    <xf numFmtId="4" fontId="17" fillId="0" borderId="0" xfId="7" applyFont="1" applyAlignment="1">
      <alignment vertical="center"/>
    </xf>
    <xf numFmtId="4" fontId="24" fillId="0" borderId="0" xfId="7" applyFont="1" applyAlignment="1">
      <alignment vertical="center"/>
    </xf>
    <xf numFmtId="4" fontId="21" fillId="0" borderId="4" xfId="7" applyFont="1" applyBorder="1" applyAlignment="1">
      <alignment horizontal="right" vertical="center" indent="1"/>
    </xf>
    <xf numFmtId="2" fontId="20" fillId="0" borderId="0" xfId="7" applyNumberFormat="1" applyFont="1" applyAlignment="1">
      <alignment horizontal="left" vertical="center" wrapText="1" indent="1"/>
    </xf>
    <xf numFmtId="4" fontId="23" fillId="0" borderId="0" xfId="7" applyFont="1" applyAlignment="1">
      <alignment horizontal="center" vertical="center" wrapText="1"/>
    </xf>
    <xf numFmtId="4" fontId="23" fillId="0" borderId="0" xfId="7" applyFont="1" applyAlignment="1">
      <alignment vertical="center"/>
    </xf>
    <xf numFmtId="4" fontId="22" fillId="0" borderId="0" xfId="7" applyFont="1" applyFill="1" applyAlignment="1">
      <alignment vertical="center" wrapText="1"/>
    </xf>
    <xf numFmtId="4" fontId="1" fillId="0" borderId="0" xfId="7" applyAlignment="1">
      <alignment wrapText="1"/>
    </xf>
    <xf numFmtId="4" fontId="21" fillId="0" borderId="0" xfId="7" applyFont="1" applyFill="1" applyAlignment="1">
      <alignment horizontal="left" vertical="center" wrapText="1" indent="1"/>
    </xf>
    <xf numFmtId="4" fontId="25" fillId="0" borderId="0" xfId="7" applyFont="1" applyAlignment="1">
      <alignment horizontal="right" vertical="center" indent="4"/>
    </xf>
    <xf numFmtId="4" fontId="21" fillId="0" borderId="0" xfId="7" applyFont="1" applyAlignment="1">
      <alignment horizontal="left" vertical="center" wrapText="1" indent="1"/>
    </xf>
    <xf numFmtId="4" fontId="22" fillId="0" borderId="4" xfId="7" applyFont="1" applyBorder="1" applyAlignment="1">
      <alignment horizontal="right" vertical="center" wrapText="1"/>
    </xf>
    <xf numFmtId="4" fontId="23" fillId="0" borderId="4" xfId="7" applyFont="1" applyBorder="1" applyAlignment="1">
      <alignment horizontal="right" vertical="center" wrapText="1"/>
    </xf>
    <xf numFmtId="4" fontId="22" fillId="0" borderId="0" xfId="7" applyFont="1" applyAlignment="1">
      <alignment vertical="center"/>
    </xf>
    <xf numFmtId="4" fontId="23" fillId="0" borderId="4" xfId="7" applyFont="1" applyBorder="1" applyAlignment="1">
      <alignment horizontal="right" vertical="center" indent="1"/>
    </xf>
    <xf numFmtId="4" fontId="20" fillId="0" borderId="0" xfId="7" applyFont="1" applyAlignment="1">
      <alignment horizontal="center" vertical="center"/>
    </xf>
    <xf numFmtId="4" fontId="22" fillId="0" borderId="3" xfId="7" applyFont="1" applyBorder="1" applyAlignment="1">
      <alignment vertical="center"/>
    </xf>
    <xf numFmtId="4" fontId="21" fillId="0" borderId="0" xfId="7" applyFont="1" applyBorder="1" applyAlignment="1">
      <alignment horizontal="right" vertical="center" indent="1"/>
    </xf>
    <xf numFmtId="4" fontId="23" fillId="0" borderId="0" xfId="7" applyFont="1" applyBorder="1" applyAlignment="1">
      <alignment vertical="center"/>
    </xf>
    <xf numFmtId="4" fontId="23" fillId="0" borderId="0" xfId="7" applyFont="1" applyBorder="1" applyAlignment="1">
      <alignment horizontal="center" vertical="center"/>
    </xf>
    <xf numFmtId="4" fontId="23" fillId="0" borderId="5" xfId="7" applyFont="1" applyBorder="1" applyAlignment="1">
      <alignment vertical="center"/>
    </xf>
    <xf numFmtId="165" fontId="20" fillId="0" borderId="3" xfId="7" applyNumberFormat="1" applyFont="1" applyBorder="1" applyAlignment="1">
      <alignment horizontal="left" vertical="center" indent="1"/>
    </xf>
    <xf numFmtId="165" fontId="1" fillId="0" borderId="0" xfId="7" applyNumberFormat="1" applyAlignment="1"/>
    <xf numFmtId="4" fontId="5" fillId="2" borderId="1" xfId="0" applyFont="1" applyFill="1" applyBorder="1" applyAlignment="1" applyProtection="1">
      <alignment horizontal="left" vertical="top" wrapText="1"/>
    </xf>
    <xf numFmtId="4" fontId="5" fillId="2" borderId="0" xfId="0" applyFont="1" applyFill="1" applyBorder="1" applyAlignment="1" applyProtection="1">
      <alignment horizontal="left" vertical="top" wrapText="1"/>
    </xf>
    <xf numFmtId="0" fontId="5" fillId="0" borderId="1" xfId="11" applyFont="1" applyBorder="1" applyAlignment="1" applyProtection="1"/>
    <xf numFmtId="0" fontId="5" fillId="0" borderId="13" xfId="11" applyFont="1" applyBorder="1" applyAlignment="1" applyProtection="1"/>
    <xf numFmtId="0" fontId="5" fillId="0" borderId="0" xfId="3" applyNumberFormat="1" applyFont="1" applyFill="1" applyAlignment="1" applyProtection="1">
      <alignment horizontal="right"/>
    </xf>
    <xf numFmtId="4" fontId="34" fillId="16" borderId="53" xfId="4" applyNumberFormat="1" applyFont="1" applyFill="1" applyBorder="1" applyAlignment="1" applyProtection="1">
      <alignment vertical="center"/>
    </xf>
    <xf numFmtId="4" fontId="34" fillId="17" borderId="53" xfId="4" applyNumberFormat="1" applyFont="1" applyFill="1" applyBorder="1" applyAlignment="1" applyProtection="1">
      <alignment vertical="center"/>
    </xf>
    <xf numFmtId="4" fontId="42" fillId="0" borderId="53" xfId="3" applyNumberFormat="1" applyFont="1" applyFill="1" applyBorder="1" applyAlignment="1" applyProtection="1">
      <alignment vertical="center"/>
      <protection locked="0"/>
    </xf>
    <xf numFmtId="4" fontId="48" fillId="0" borderId="0" xfId="0" applyFont="1" applyAlignment="1">
      <alignment horizontal="left" vertical="center" wrapText="1"/>
    </xf>
    <xf numFmtId="4" fontId="48" fillId="0" borderId="0" xfId="0" applyFont="1" applyBorder="1" applyAlignment="1">
      <alignment vertical="center" wrapText="1"/>
    </xf>
    <xf numFmtId="4" fontId="48" fillId="0" borderId="0" xfId="0" applyFont="1" applyAlignment="1">
      <alignment wrapText="1"/>
    </xf>
    <xf numFmtId="165" fontId="21" fillId="18" borderId="0" xfId="7" applyNumberFormat="1" applyFont="1" applyFill="1" applyAlignment="1">
      <alignment vertical="center" wrapText="1"/>
    </xf>
    <xf numFmtId="4" fontId="21" fillId="18" borderId="0" xfId="7" applyFont="1" applyFill="1" applyAlignment="1">
      <alignment vertical="center"/>
    </xf>
    <xf numFmtId="0" fontId="5" fillId="0" borderId="6" xfId="3" applyNumberFormat="1" applyFont="1" applyFill="1" applyBorder="1" applyAlignment="1" applyProtection="1">
      <alignment horizontal="center"/>
    </xf>
    <xf numFmtId="166" fontId="0" fillId="0" borderId="6" xfId="0" applyNumberFormat="1" applyBorder="1"/>
    <xf numFmtId="4" fontId="42" fillId="0" borderId="2" xfId="3" applyNumberFormat="1" applyFont="1" applyFill="1" applyBorder="1" applyAlignment="1" applyProtection="1">
      <alignment vertical="center"/>
      <protection locked="0"/>
    </xf>
    <xf numFmtId="0" fontId="5" fillId="19" borderId="0" xfId="3" applyNumberFormat="1" applyFont="1" applyFill="1" applyProtection="1"/>
    <xf numFmtId="0" fontId="5" fillId="19" borderId="0" xfId="3" applyNumberFormat="1" applyFont="1" applyFill="1" applyAlignment="1" applyProtection="1">
      <alignment horizontal="right"/>
    </xf>
    <xf numFmtId="0" fontId="5" fillId="19" borderId="0" xfId="3" applyNumberFormat="1" applyFont="1" applyFill="1" applyAlignment="1" applyProtection="1">
      <alignment vertical="top"/>
    </xf>
    <xf numFmtId="0" fontId="5" fillId="19" borderId="0" xfId="3" applyNumberFormat="1" applyFont="1" applyFill="1" applyAlignment="1" applyProtection="1">
      <alignment horizontal="right" vertical="top"/>
    </xf>
    <xf numFmtId="0" fontId="5" fillId="0" borderId="0" xfId="3" applyNumberFormat="1" applyFont="1" applyFill="1" applyAlignment="1" applyProtection="1">
      <alignment horizontal="center" vertical="top"/>
    </xf>
    <xf numFmtId="0" fontId="5" fillId="0" borderId="54" xfId="3" applyNumberFormat="1" applyFont="1" applyFill="1" applyBorder="1" applyProtection="1"/>
    <xf numFmtId="0" fontId="44" fillId="0" borderId="54" xfId="3" quotePrefix="1" applyNumberFormat="1" applyFont="1" applyFill="1" applyBorder="1" applyProtection="1"/>
    <xf numFmtId="0" fontId="5" fillId="20" borderId="0" xfId="3" applyNumberFormat="1" applyFont="1" applyFill="1" applyAlignment="1" applyProtection="1"/>
    <xf numFmtId="0" fontId="5" fillId="20" borderId="0" xfId="3" applyNumberFormat="1" applyFont="1" applyFill="1" applyAlignment="1" applyProtection="1">
      <alignment wrapText="1"/>
    </xf>
    <xf numFmtId="0" fontId="5" fillId="20" borderId="6" xfId="3" applyNumberFormat="1" applyFont="1" applyFill="1" applyBorder="1" applyAlignment="1" applyProtection="1">
      <alignment horizontal="center" wrapText="1"/>
    </xf>
    <xf numFmtId="166" fontId="0" fillId="20" borderId="6" xfId="0" applyNumberFormat="1" applyFill="1" applyBorder="1"/>
    <xf numFmtId="4" fontId="34" fillId="16" borderId="53" xfId="4" applyNumberFormat="1" applyFont="1" applyFill="1" applyBorder="1" applyAlignment="1" applyProtection="1">
      <alignment horizontal="right" vertical="center"/>
    </xf>
    <xf numFmtId="4" fontId="34" fillId="17" borderId="53" xfId="4" applyNumberFormat="1" applyFont="1" applyFill="1" applyBorder="1" applyAlignment="1" applyProtection="1">
      <alignment horizontal="right" vertical="center"/>
    </xf>
    <xf numFmtId="4" fontId="49" fillId="0" borderId="0" xfId="7" applyFont="1"/>
    <xf numFmtId="4" fontId="40" fillId="0" borderId="0" xfId="7" applyFont="1"/>
    <xf numFmtId="4" fontId="40" fillId="0" borderId="0" xfId="7" applyFont="1" applyAlignment="1">
      <alignment wrapText="1"/>
    </xf>
    <xf numFmtId="4" fontId="48" fillId="0" borderId="0" xfId="7" applyFont="1" applyAlignment="1">
      <alignment wrapText="1"/>
    </xf>
    <xf numFmtId="4" fontId="48" fillId="0" borderId="0" xfId="7" applyFont="1" applyAlignment="1">
      <alignment horizontal="center" vertical="center" wrapText="1"/>
    </xf>
    <xf numFmtId="4" fontId="50" fillId="18" borderId="0" xfId="7" applyFont="1" applyFill="1" applyAlignment="1">
      <alignment vertical="center"/>
    </xf>
    <xf numFmtId="0" fontId="29" fillId="0" borderId="0" xfId="3" applyNumberFormat="1" applyFont="1" applyFill="1" applyAlignment="1" applyProtection="1">
      <alignment wrapText="1"/>
    </xf>
    <xf numFmtId="0" fontId="29" fillId="0" borderId="0" xfId="3" applyNumberFormat="1" applyFont="1" applyFill="1" applyBorder="1" applyAlignment="1" applyProtection="1">
      <alignment wrapText="1"/>
    </xf>
    <xf numFmtId="0" fontId="30" fillId="0" borderId="0" xfId="3" applyNumberFormat="1" applyFont="1" applyFill="1" applyProtection="1"/>
    <xf numFmtId="0" fontId="29" fillId="0" borderId="0" xfId="3" applyNumberFormat="1" applyFont="1" applyFill="1" applyBorder="1" applyAlignment="1" applyProtection="1">
      <alignment horizontal="center" vertical="center" wrapText="1"/>
    </xf>
    <xf numFmtId="1" fontId="20" fillId="21" borderId="0" xfId="7" applyNumberFormat="1" applyFont="1" applyFill="1" applyAlignment="1">
      <alignment horizontal="left" vertical="center" wrapText="1" indent="1"/>
    </xf>
    <xf numFmtId="4" fontId="13" fillId="21" borderId="0" xfId="3" applyFont="1" applyFill="1" applyAlignment="1">
      <alignment horizontal="right" vertical="center" indent="4"/>
    </xf>
    <xf numFmtId="1" fontId="20" fillId="21" borderId="0" xfId="7" applyNumberFormat="1" applyFont="1" applyFill="1" applyAlignment="1" applyProtection="1">
      <alignment horizontal="left" vertical="center" wrapText="1" indent="1"/>
      <protection locked="0"/>
    </xf>
    <xf numFmtId="1" fontId="20" fillId="21" borderId="0" xfId="7" applyNumberFormat="1" applyFont="1" applyFill="1" applyAlignment="1">
      <alignment horizontal="left" vertical="center" indent="1"/>
    </xf>
    <xf numFmtId="4" fontId="20" fillId="21" borderId="0" xfId="7" applyFont="1" applyFill="1" applyAlignment="1" applyProtection="1">
      <alignment horizontal="left" vertical="center" indent="1"/>
      <protection locked="0"/>
    </xf>
    <xf numFmtId="165" fontId="20" fillId="21" borderId="0" xfId="7" applyNumberFormat="1" applyFont="1" applyFill="1" applyAlignment="1" applyProtection="1">
      <alignment horizontal="left" vertical="center" indent="1"/>
      <protection locked="0"/>
    </xf>
    <xf numFmtId="0" fontId="51" fillId="22" borderId="53" xfId="3" applyNumberFormat="1" applyFont="1" applyFill="1" applyBorder="1" applyAlignment="1" applyProtection="1">
      <alignment horizontal="center" vertical="center"/>
    </xf>
    <xf numFmtId="0" fontId="5" fillId="0" borderId="0" xfId="3" applyNumberFormat="1" applyFont="1" applyFill="1" applyBorder="1" applyAlignment="1" applyProtection="1">
      <alignment vertical="top"/>
    </xf>
    <xf numFmtId="0" fontId="5" fillId="0" borderId="0" xfId="3" applyNumberFormat="1" applyFont="1" applyFill="1" applyBorder="1" applyAlignment="1" applyProtection="1">
      <alignment horizontal="right" vertical="top"/>
    </xf>
    <xf numFmtId="0" fontId="13" fillId="0" borderId="0" xfId="3" applyNumberFormat="1" applyFont="1" applyFill="1" applyBorder="1" applyAlignment="1" applyProtection="1">
      <alignment vertical="top"/>
    </xf>
    <xf numFmtId="4" fontId="8" fillId="0" borderId="0" xfId="0" applyFont="1" applyFill="1" applyBorder="1" applyAlignment="1" applyProtection="1">
      <alignment vertical="top"/>
    </xf>
    <xf numFmtId="3" fontId="4" fillId="0" borderId="0" xfId="3" applyNumberFormat="1" applyFont="1" applyFill="1" applyBorder="1" applyAlignment="1" applyProtection="1">
      <alignment vertical="top"/>
    </xf>
    <xf numFmtId="0" fontId="10" fillId="0" borderId="55" xfId="3" applyNumberFormat="1" applyFont="1" applyFill="1" applyBorder="1" applyProtection="1"/>
    <xf numFmtId="0" fontId="5" fillId="0" borderId="55" xfId="3" applyNumberFormat="1" applyFont="1" applyFill="1" applyBorder="1" applyProtection="1"/>
    <xf numFmtId="3" fontId="5" fillId="0" borderId="55" xfId="3" applyNumberFormat="1" applyFont="1" applyFill="1" applyBorder="1" applyProtection="1"/>
    <xf numFmtId="4" fontId="12" fillId="0" borderId="0" xfId="3" applyNumberFormat="1" applyFont="1" applyFill="1" applyAlignment="1" applyProtection="1"/>
    <xf numFmtId="4" fontId="34" fillId="0" borderId="0" xfId="4" applyNumberFormat="1" applyFont="1" applyFill="1" applyBorder="1" applyAlignment="1" applyProtection="1">
      <alignment vertical="center"/>
    </xf>
    <xf numFmtId="4" fontId="51" fillId="0" borderId="0" xfId="3" quotePrefix="1" applyFont="1" applyFill="1" applyBorder="1" applyAlignment="1" applyProtection="1">
      <alignment horizontal="right" vertical="center" indent="3"/>
    </xf>
    <xf numFmtId="4" fontId="5" fillId="0" borderId="56" xfId="10" applyNumberFormat="1" applyFont="1" applyFill="1" applyBorder="1" applyAlignment="1" applyProtection="1">
      <alignment horizontal="left" vertical="center"/>
    </xf>
    <xf numFmtId="0" fontId="5" fillId="0" borderId="56" xfId="10" applyFont="1" applyFill="1" applyBorder="1" applyAlignment="1" applyProtection="1">
      <alignment horizontal="left" vertical="center"/>
    </xf>
    <xf numFmtId="4" fontId="5" fillId="0" borderId="7" xfId="3" applyNumberFormat="1" applyFont="1" applyFill="1" applyBorder="1" applyAlignment="1" applyProtection="1">
      <alignment vertical="center"/>
    </xf>
    <xf numFmtId="4" fontId="42" fillId="0" borderId="57" xfId="3" applyNumberFormat="1" applyFont="1" applyFill="1" applyBorder="1" applyAlignment="1" applyProtection="1">
      <alignment vertical="center"/>
    </xf>
    <xf numFmtId="4" fontId="1" fillId="0" borderId="0" xfId="7" applyFont="1" applyFill="1"/>
    <xf numFmtId="4" fontId="1" fillId="0" borderId="0" xfId="7" applyFont="1" applyAlignment="1"/>
    <xf numFmtId="4" fontId="0" fillId="0" borderId="0" xfId="0" applyAlignment="1">
      <alignment horizontal="center"/>
    </xf>
    <xf numFmtId="4" fontId="1" fillId="0" borderId="0" xfId="7" applyFont="1" applyAlignment="1">
      <alignment horizontal="center"/>
    </xf>
    <xf numFmtId="4" fontId="1" fillId="0" borderId="3" xfId="0" applyFon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4" fontId="1" fillId="0" borderId="3" xfId="7" applyFont="1" applyBorder="1" applyAlignment="1"/>
    <xf numFmtId="3" fontId="1" fillId="0" borderId="3" xfId="7" applyNumberFormat="1" applyFont="1" applyBorder="1" applyAlignment="1">
      <alignment horizontal="center"/>
    </xf>
    <xf numFmtId="166" fontId="0" fillId="15" borderId="6" xfId="0" applyNumberFormat="1" applyFill="1" applyBorder="1"/>
    <xf numFmtId="0" fontId="5" fillId="23" borderId="0" xfId="3" applyNumberFormat="1" applyFont="1" applyFill="1" applyBorder="1" applyProtection="1"/>
    <xf numFmtId="168" fontId="0" fillId="15" borderId="0" xfId="0" applyNumberFormat="1" applyFill="1" applyBorder="1"/>
    <xf numFmtId="14" fontId="5" fillId="10" borderId="58" xfId="3" applyNumberFormat="1" applyFont="1" applyFill="1" applyBorder="1" applyProtection="1"/>
    <xf numFmtId="168" fontId="0" fillId="10" borderId="59" xfId="0" applyNumberFormat="1" applyFill="1" applyBorder="1"/>
    <xf numFmtId="168" fontId="0" fillId="10" borderId="60" xfId="0" applyNumberFormat="1" applyFill="1" applyBorder="1"/>
    <xf numFmtId="0" fontId="52" fillId="0" borderId="0" xfId="3" applyNumberFormat="1" applyFont="1" applyFill="1" applyBorder="1" applyAlignment="1" applyProtection="1">
      <alignment horizontal="left"/>
    </xf>
    <xf numFmtId="0" fontId="52" fillId="0" borderId="0" xfId="3" applyNumberFormat="1" applyFont="1" applyFill="1" applyBorder="1" applyAlignment="1" applyProtection="1">
      <alignment horizontal="left" vertical="center"/>
    </xf>
    <xf numFmtId="0" fontId="53" fillId="0" borderId="0" xfId="3" applyNumberFormat="1" applyFont="1" applyFill="1" applyBorder="1" applyAlignment="1" applyProtection="1">
      <alignment vertical="center"/>
    </xf>
    <xf numFmtId="0" fontId="45" fillId="0" borderId="0" xfId="3" applyNumberFormat="1" applyFont="1" applyFill="1" applyBorder="1" applyAlignment="1" applyProtection="1">
      <alignment vertical="center"/>
    </xf>
    <xf numFmtId="0" fontId="45" fillId="0" borderId="0" xfId="3" applyNumberFormat="1" applyFont="1" applyFill="1" applyAlignment="1" applyProtection="1">
      <alignment vertical="center"/>
    </xf>
    <xf numFmtId="0" fontId="54" fillId="0" borderId="0" xfId="3" applyNumberFormat="1" applyFont="1" applyFill="1" applyBorder="1" applyAlignment="1" applyProtection="1">
      <alignment vertical="top"/>
    </xf>
    <xf numFmtId="3" fontId="45" fillId="0" borderId="55" xfId="3" applyNumberFormat="1" applyFont="1" applyFill="1" applyBorder="1" applyProtection="1"/>
    <xf numFmtId="0" fontId="45" fillId="0" borderId="0" xfId="3" applyNumberFormat="1" applyFont="1" applyFill="1" applyBorder="1" applyAlignment="1" applyProtection="1">
      <alignment horizontal="center"/>
    </xf>
    <xf numFmtId="0" fontId="45" fillId="0" borderId="0" xfId="10" applyFont="1" applyFill="1" applyBorder="1" applyAlignment="1" applyProtection="1">
      <alignment horizontal="left"/>
    </xf>
    <xf numFmtId="0" fontId="45" fillId="0" borderId="0" xfId="3" applyNumberFormat="1" applyFont="1" applyFill="1" applyProtection="1"/>
    <xf numFmtId="3" fontId="45" fillId="0" borderId="0" xfId="3" applyNumberFormat="1" applyFont="1" applyFill="1" applyBorder="1" applyProtection="1"/>
    <xf numFmtId="0" fontId="45" fillId="0" borderId="0" xfId="3" applyNumberFormat="1" applyFont="1" applyFill="1" applyBorder="1" applyProtection="1"/>
    <xf numFmtId="0" fontId="45" fillId="0" borderId="54" xfId="3" applyNumberFormat="1" applyFont="1" applyFill="1" applyBorder="1" applyProtection="1"/>
    <xf numFmtId="4" fontId="32" fillId="0" borderId="0" xfId="0" applyFont="1" applyFill="1"/>
    <xf numFmtId="49" fontId="32" fillId="0" borderId="0" xfId="0" applyNumberFormat="1" applyFont="1" applyFill="1" applyAlignment="1">
      <alignment horizontal="center"/>
    </xf>
    <xf numFmtId="4" fontId="32" fillId="0" borderId="0" xfId="0" applyFont="1" applyFill="1" applyAlignment="1">
      <alignment horizontal="right"/>
    </xf>
    <xf numFmtId="4" fontId="33" fillId="0" borderId="0" xfId="0" applyFont="1" applyFill="1"/>
    <xf numFmtId="49" fontId="33" fillId="0" borderId="0" xfId="0" applyNumberFormat="1" applyFont="1" applyFill="1" applyAlignment="1">
      <alignment horizontal="center"/>
    </xf>
    <xf numFmtId="4" fontId="33" fillId="0" borderId="0" xfId="0" applyFont="1" applyFill="1" applyAlignment="1">
      <alignment horizontal="right"/>
    </xf>
    <xf numFmtId="4" fontId="32" fillId="0" borderId="0" xfId="0" applyFont="1" applyFill="1" applyBorder="1"/>
    <xf numFmtId="49" fontId="32" fillId="0" borderId="0" xfId="0" applyNumberFormat="1" applyFont="1" applyFill="1" applyBorder="1" applyAlignment="1">
      <alignment horizontal="center"/>
    </xf>
    <xf numFmtId="43" fontId="40" fillId="0" borderId="8" xfId="12" applyNumberFormat="1" applyFont="1" applyFill="1"/>
    <xf numFmtId="4" fontId="40" fillId="0" borderId="0" xfId="0" applyFont="1" applyFill="1"/>
    <xf numFmtId="4" fontId="55" fillId="0" borderId="0" xfId="0" applyFont="1" applyFill="1" applyBorder="1"/>
    <xf numFmtId="0" fontId="55" fillId="0" borderId="0" xfId="0" applyNumberFormat="1" applyFont="1" applyFill="1" applyBorder="1" applyAlignment="1">
      <alignment horizontal="center"/>
    </xf>
    <xf numFmtId="4" fontId="56" fillId="0" borderId="0" xfId="0" applyFont="1" applyFill="1" applyBorder="1"/>
    <xf numFmtId="0" fontId="56" fillId="0" borderId="0" xfId="0" applyNumberFormat="1" applyFont="1" applyFill="1" applyBorder="1" applyAlignment="1">
      <alignment horizontal="center"/>
    </xf>
    <xf numFmtId="4" fontId="40" fillId="0" borderId="3" xfId="0" applyFont="1" applyFill="1" applyBorder="1"/>
    <xf numFmtId="49" fontId="55" fillId="0" borderId="0" xfId="0" applyNumberFormat="1" applyFont="1" applyFill="1" applyBorder="1" applyAlignment="1">
      <alignment horizontal="center"/>
    </xf>
    <xf numFmtId="4" fontId="32" fillId="0" borderId="0" xfId="4" applyNumberFormat="1" applyFont="1" applyFill="1" applyBorder="1"/>
    <xf numFmtId="4" fontId="40" fillId="0" borderId="0" xfId="3" applyFont="1" applyFill="1" applyBorder="1"/>
    <xf numFmtId="49" fontId="40" fillId="0" borderId="3" xfId="0" applyNumberFormat="1" applyFont="1" applyFill="1" applyBorder="1"/>
    <xf numFmtId="4" fontId="55" fillId="0" borderId="0" xfId="0" quotePrefix="1" applyFont="1" applyFill="1" applyBorder="1"/>
    <xf numFmtId="4" fontId="55" fillId="0" borderId="0" xfId="0" applyFont="1" applyFill="1" applyBorder="1" applyAlignment="1">
      <alignment horizontal="right"/>
    </xf>
    <xf numFmtId="4" fontId="33" fillId="0" borderId="0" xfId="0" applyFont="1" applyFill="1" applyBorder="1"/>
    <xf numFmtId="4" fontId="40" fillId="0" borderId="0" xfId="0" applyFont="1" applyFill="1" applyBorder="1"/>
    <xf numFmtId="0" fontId="40" fillId="0" borderId="0" xfId="10" applyFont="1" applyFill="1" applyBorder="1" applyAlignment="1" applyProtection="1">
      <alignment horizontal="left"/>
    </xf>
    <xf numFmtId="4" fontId="40" fillId="0" borderId="0" xfId="0" applyFont="1" applyFill="1" applyBorder="1" applyProtection="1"/>
    <xf numFmtId="4" fontId="57" fillId="0" borderId="0" xfId="0" applyFont="1" applyFill="1" applyBorder="1" applyProtection="1"/>
    <xf numFmtId="3" fontId="57" fillId="0" borderId="0" xfId="0" applyNumberFormat="1" applyFont="1" applyFill="1" applyBorder="1" applyProtection="1"/>
    <xf numFmtId="3" fontId="40" fillId="0" borderId="0" xfId="0" applyNumberFormat="1" applyFont="1" applyFill="1" applyBorder="1"/>
    <xf numFmtId="4" fontId="57" fillId="0" borderId="0" xfId="0" applyFont="1" applyFill="1" applyBorder="1"/>
    <xf numFmtId="1" fontId="40" fillId="0" borderId="0" xfId="0" applyNumberFormat="1" applyFont="1" applyFill="1" applyBorder="1"/>
    <xf numFmtId="167" fontId="45" fillId="0" borderId="0" xfId="3" applyNumberFormat="1" applyFont="1" applyFill="1" applyProtection="1"/>
    <xf numFmtId="0" fontId="5" fillId="18" borderId="0" xfId="3" applyNumberFormat="1" applyFont="1" applyFill="1" applyProtection="1"/>
    <xf numFmtId="0" fontId="29" fillId="0" borderId="0" xfId="3" applyNumberFormat="1" applyFont="1" applyFill="1" applyBorder="1" applyAlignment="1" applyProtection="1">
      <alignment horizontal="center" vertical="center" wrapText="1"/>
    </xf>
    <xf numFmtId="0" fontId="58" fillId="0" borderId="0" xfId="3" applyNumberFormat="1" applyFont="1" applyFill="1" applyBorder="1" applyAlignment="1" applyProtection="1">
      <alignment horizontal="left" vertical="center" wrapText="1"/>
    </xf>
    <xf numFmtId="0" fontId="16" fillId="0" borderId="61" xfId="3" applyNumberFormat="1" applyFont="1" applyFill="1" applyBorder="1" applyAlignment="1" applyProtection="1">
      <alignment horizontal="center" vertical="center"/>
    </xf>
    <xf numFmtId="0" fontId="16" fillId="0" borderId="62" xfId="3" applyNumberFormat="1" applyFont="1" applyFill="1" applyBorder="1" applyAlignment="1" applyProtection="1">
      <alignment horizontal="center" vertical="center"/>
    </xf>
    <xf numFmtId="0" fontId="16" fillId="0" borderId="63" xfId="3" applyNumberFormat="1" applyFont="1" applyFill="1" applyBorder="1" applyAlignment="1" applyProtection="1">
      <alignment horizontal="center" vertical="center"/>
    </xf>
    <xf numFmtId="0" fontId="16" fillId="0" borderId="64" xfId="3" applyNumberFormat="1" applyFont="1" applyFill="1" applyBorder="1" applyAlignment="1" applyProtection="1">
      <alignment horizontal="center" vertical="center"/>
    </xf>
    <xf numFmtId="0" fontId="17" fillId="21" borderId="0" xfId="3" applyNumberFormat="1" applyFont="1" applyFill="1" applyBorder="1" applyAlignment="1" applyProtection="1">
      <alignment horizontal="left" vertical="center" indent="1"/>
      <protection locked="0"/>
    </xf>
    <xf numFmtId="0" fontId="47" fillId="0" borderId="0" xfId="3" applyNumberFormat="1" applyFont="1" applyFill="1" applyAlignment="1" applyProtection="1">
      <alignment horizontal="left" vertical="center" wrapText="1"/>
    </xf>
    <xf numFmtId="0" fontId="18" fillId="0" borderId="0" xfId="3" applyNumberFormat="1" applyFont="1" applyFill="1" applyBorder="1" applyAlignment="1" applyProtection="1">
      <alignment horizontal="center" vertical="center"/>
      <protection hidden="1"/>
    </xf>
    <xf numFmtId="4" fontId="51" fillId="22" borderId="65" xfId="3" quotePrefix="1" applyFont="1" applyFill="1" applyBorder="1" applyAlignment="1" applyProtection="1">
      <alignment horizontal="right" vertical="center" indent="3"/>
    </xf>
    <xf numFmtId="4" fontId="51" fillId="22" borderId="57" xfId="3" quotePrefix="1" applyFont="1" applyFill="1" applyBorder="1" applyAlignment="1" applyProtection="1">
      <alignment horizontal="right" vertical="center" indent="3"/>
    </xf>
    <xf numFmtId="4" fontId="51" fillId="22" borderId="66" xfId="3" quotePrefix="1" applyFont="1" applyFill="1" applyBorder="1" applyAlignment="1" applyProtection="1">
      <alignment horizontal="right" vertical="center" indent="3"/>
    </xf>
    <xf numFmtId="4" fontId="51" fillId="22" borderId="67" xfId="3" quotePrefix="1" applyFont="1" applyFill="1" applyBorder="1" applyAlignment="1" applyProtection="1">
      <alignment horizontal="right" vertical="center" indent="3"/>
    </xf>
    <xf numFmtId="4" fontId="51" fillId="22" borderId="68" xfId="3" quotePrefix="1" applyFont="1" applyFill="1" applyBorder="1" applyAlignment="1" applyProtection="1">
      <alignment horizontal="right" vertical="center" indent="3"/>
    </xf>
    <xf numFmtId="4" fontId="51" fillId="22" borderId="69" xfId="3" quotePrefix="1" applyFont="1" applyFill="1" applyBorder="1" applyAlignment="1" applyProtection="1">
      <alignment horizontal="right" vertical="center" indent="3"/>
    </xf>
    <xf numFmtId="4" fontId="59" fillId="22" borderId="65" xfId="4" applyNumberFormat="1" applyFont="1" applyFill="1" applyBorder="1" applyAlignment="1" applyProtection="1">
      <alignment horizontal="center" vertical="center"/>
    </xf>
    <xf numFmtId="4" fontId="59" fillId="22" borderId="66" xfId="4" applyNumberFormat="1" applyFont="1" applyFill="1" applyBorder="1" applyAlignment="1" applyProtection="1">
      <alignment horizontal="center" vertical="center"/>
    </xf>
    <xf numFmtId="4" fontId="59" fillId="22" borderId="67" xfId="4" applyNumberFormat="1" applyFont="1" applyFill="1" applyBorder="1" applyAlignment="1" applyProtection="1">
      <alignment horizontal="center" vertical="center"/>
    </xf>
    <xf numFmtId="4" fontId="59" fillId="22" borderId="69" xfId="4" applyNumberFormat="1" applyFont="1" applyFill="1" applyBorder="1" applyAlignment="1" applyProtection="1">
      <alignment horizontal="center" vertical="center"/>
    </xf>
    <xf numFmtId="0" fontId="12" fillId="0" borderId="52" xfId="3" applyNumberFormat="1" applyFont="1" applyFill="1" applyBorder="1" applyAlignment="1" applyProtection="1">
      <alignment horizontal="right" wrapText="1" indent="1"/>
    </xf>
    <xf numFmtId="4" fontId="20" fillId="21" borderId="0" xfId="7" applyFont="1" applyFill="1" applyAlignment="1">
      <alignment horizontal="left" vertical="center" wrapText="1" indent="1"/>
    </xf>
    <xf numFmtId="0" fontId="20" fillId="21" borderId="0" xfId="3" applyNumberFormat="1" applyFont="1" applyFill="1" applyBorder="1" applyAlignment="1" applyProtection="1">
      <alignment horizontal="left" vertical="center" indent="1"/>
    </xf>
    <xf numFmtId="4" fontId="23" fillId="0" borderId="0" xfId="7" applyFont="1" applyAlignment="1">
      <alignment horizontal="justify" vertical="center" wrapText="1"/>
    </xf>
    <xf numFmtId="4" fontId="20" fillId="0" borderId="4" xfId="7" applyFont="1" applyBorder="1" applyAlignment="1">
      <alignment horizontal="right" vertical="center" wrapText="1"/>
    </xf>
    <xf numFmtId="4" fontId="22" fillId="0" borderId="5" xfId="7" applyFont="1" applyBorder="1" applyAlignment="1">
      <alignment vertical="center" wrapText="1"/>
    </xf>
    <xf numFmtId="2" fontId="20" fillId="21" borderId="0" xfId="7" applyNumberFormat="1" applyFont="1" applyFill="1" applyAlignment="1">
      <alignment horizontal="left" vertical="center" wrapText="1" indent="1"/>
    </xf>
    <xf numFmtId="4" fontId="21" fillId="21" borderId="0" xfId="7" applyFont="1" applyFill="1" applyAlignment="1">
      <alignment horizontal="left" vertical="center" wrapText="1" indent="1"/>
    </xf>
    <xf numFmtId="4" fontId="21" fillId="21" borderId="0" xfId="7" applyFont="1" applyFill="1" applyAlignment="1">
      <alignment horizontal="left" vertical="top" wrapText="1" indent="1"/>
    </xf>
    <xf numFmtId="4" fontId="33" fillId="0" borderId="0" xfId="0" applyFont="1" applyFill="1" applyBorder="1" applyAlignment="1">
      <alignment horizontal="left" wrapText="1"/>
    </xf>
    <xf numFmtId="4" fontId="32" fillId="0" borderId="0" xfId="0" applyFont="1" applyFill="1" applyBorder="1" applyAlignment="1">
      <alignment horizontal="left" wrapText="1"/>
    </xf>
  </cellXfs>
  <cellStyles count="13">
    <cellStyle name="40% - Isticanje2" xfId="1" builtinId="35"/>
    <cellStyle name="Bilješka" xfId="12" builtinId="10"/>
    <cellStyle name="Dobro" xfId="4" builtinId="26"/>
    <cellStyle name="Isticanje2" xfId="2" builtinId="33"/>
    <cellStyle name="Lien hypertexte" xfId="5"/>
    <cellStyle name="Lien hypertexte visité" xfId="6"/>
    <cellStyle name="Normal 2" xfId="7"/>
    <cellStyle name="Normal 3" xfId="8"/>
    <cellStyle name="Normal_Feuil1" xfId="9"/>
    <cellStyle name="Normal_Feuil2" xfId="10"/>
    <cellStyle name="Normal_sgm" xfId="11"/>
    <cellStyle name="Normalno" xfId="0" builtinId="0"/>
    <cellStyle name="Zarez" xfId="3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Drop" dropLines="13" dropStyle="combo" dx="22" fmlaRange="$D$28:$D$41" noThreeD="1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savjetodavna.hr/adminmax/File/FADN/2018/EVPG_popis.pdf" TargetMode="External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323850</xdr:colOff>
          <xdr:row>6</xdr:row>
          <xdr:rowOff>28575</xdr:rowOff>
        </xdr:from>
        <xdr:to>
          <xdr:col>2</xdr:col>
          <xdr:colOff>866775</xdr:colOff>
          <xdr:row>7</xdr:row>
          <xdr:rowOff>38100</xdr:rowOff>
        </xdr:to>
        <xdr:sp macro="" textlink="">
          <xdr:nvSpPr>
            <xdr:cNvPr id="1025" name="Button 1" descr="Obriši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hr-HR" sz="1200" b="1" i="0" u="none" strike="noStrike" baseline="0">
                  <a:solidFill>
                    <a:srgbClr val="FF0000"/>
                  </a:solidFill>
                  <a:latin typeface="Arial"/>
                  <a:cs typeface="Arial"/>
                </a:rPr>
                <a:t>Briši vrijednosti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20</xdr:col>
      <xdr:colOff>3067050</xdr:colOff>
      <xdr:row>1</xdr:row>
      <xdr:rowOff>247650</xdr:rowOff>
    </xdr:from>
    <xdr:to>
      <xdr:col>24</xdr:col>
      <xdr:colOff>857250</xdr:colOff>
      <xdr:row>7</xdr:row>
      <xdr:rowOff>19050</xdr:rowOff>
    </xdr:to>
    <xdr:pic>
      <xdr:nvPicPr>
        <xdr:cNvPr id="1584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406" t="7053"/>
        <a:stretch>
          <a:fillRect/>
        </a:stretch>
      </xdr:blipFill>
      <xdr:spPr bwMode="auto">
        <a:xfrm>
          <a:off x="14630400" y="504825"/>
          <a:ext cx="2257425" cy="1571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11907</xdr:colOff>
      <xdr:row>73</xdr:row>
      <xdr:rowOff>47625</xdr:rowOff>
    </xdr:from>
    <xdr:to>
      <xdr:col>4</xdr:col>
      <xdr:colOff>142875</xdr:colOff>
      <xdr:row>74</xdr:row>
      <xdr:rowOff>130967</xdr:rowOff>
    </xdr:to>
    <xdr:sp macro="" textlink="">
      <xdr:nvSpPr>
        <xdr:cNvPr id="2" name="TextBox 1">
          <a:hlinkClick xmlns:r="http://schemas.openxmlformats.org/officeDocument/2006/relationships" r:id="rId2"/>
        </xdr:cNvPr>
        <xdr:cNvSpPr txBox="1"/>
      </xdr:nvSpPr>
      <xdr:spPr>
        <a:xfrm>
          <a:off x="226220" y="12251531"/>
          <a:ext cx="2416968" cy="28574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hr-HR" sz="1100" b="1" u="sng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*popis biljne i stočarske proizvodnje</a:t>
          </a:r>
          <a:endParaRPr lang="hr-HR" b="1"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685800</xdr:colOff>
          <xdr:row>26</xdr:row>
          <xdr:rowOff>257175</xdr:rowOff>
        </xdr:from>
        <xdr:to>
          <xdr:col>3</xdr:col>
          <xdr:colOff>2343150</xdr:colOff>
          <xdr:row>26</xdr:row>
          <xdr:rowOff>476250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ristijanTC/AppData/Local/Microsoft/Windows/INetCache/Content.Outlook/N7J9ZW5X/backup_kalkulator/backup_FADN_kalkulator_2015_dodatak_otkljuc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ADN2015/RR-kalkulator/FADN_kalkulator_2015_dodatak_U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EX"/>
      <sheetName val="IZJAVA"/>
      <sheetName val="SO"/>
      <sheetName val="CoefVeg"/>
      <sheetName val="CoefAni"/>
      <sheetName val="IZRAČUN"/>
      <sheetName val="backup_FADN_kalkulator_2015_dod"/>
    </sheetNames>
    <sheetDataSet>
      <sheetData sheetId="0" refreshError="1">
        <row r="1">
          <cell r="A1" t="str">
            <v>HR</v>
          </cell>
        </row>
        <row r="2">
          <cell r="C2" t="str">
            <v>0</v>
          </cell>
        </row>
        <row r="3">
          <cell r="A3">
            <v>0.13581789536589342</v>
          </cell>
        </row>
        <row r="13">
          <cell r="AB13">
            <v>0</v>
          </cell>
        </row>
        <row r="14">
          <cell r="J14">
            <v>0</v>
          </cell>
          <cell r="R14">
            <v>0</v>
          </cell>
          <cell r="S14">
            <v>0</v>
          </cell>
          <cell r="Y14">
            <v>0</v>
          </cell>
          <cell r="Z14">
            <v>0</v>
          </cell>
          <cell r="AB14">
            <v>0</v>
          </cell>
        </row>
        <row r="15">
          <cell r="J15">
            <v>0</v>
          </cell>
          <cell r="R15">
            <v>0</v>
          </cell>
          <cell r="Y15">
            <v>0</v>
          </cell>
          <cell r="Z15">
            <v>0</v>
          </cell>
        </row>
        <row r="16">
          <cell r="J16">
            <v>0</v>
          </cell>
          <cell r="R16">
            <v>0</v>
          </cell>
          <cell r="Y16">
            <v>0</v>
          </cell>
          <cell r="Z16">
            <v>0</v>
          </cell>
          <cell r="AB16">
            <v>0</v>
          </cell>
        </row>
        <row r="17">
          <cell r="J17">
            <v>0</v>
          </cell>
          <cell r="R17">
            <v>0</v>
          </cell>
          <cell r="S17">
            <v>0</v>
          </cell>
          <cell r="Y17">
            <v>0</v>
          </cell>
          <cell r="AB17">
            <v>0</v>
          </cell>
        </row>
        <row r="18">
          <cell r="J18">
            <v>0</v>
          </cell>
          <cell r="R18">
            <v>0</v>
          </cell>
          <cell r="S18">
            <v>0</v>
          </cell>
          <cell r="Y18">
            <v>0</v>
          </cell>
          <cell r="AB18">
            <v>0</v>
          </cell>
        </row>
        <row r="19">
          <cell r="J19">
            <v>0</v>
          </cell>
          <cell r="R19">
            <v>0</v>
          </cell>
          <cell r="AB19">
            <v>0</v>
          </cell>
        </row>
        <row r="20">
          <cell r="AB20">
            <v>0</v>
          </cell>
        </row>
        <row r="21">
          <cell r="AB21">
            <v>0</v>
          </cell>
        </row>
        <row r="22">
          <cell r="J22">
            <v>0</v>
          </cell>
          <cell r="AB22">
            <v>0</v>
          </cell>
        </row>
        <row r="23">
          <cell r="J23">
            <v>0</v>
          </cell>
          <cell r="R23">
            <v>0</v>
          </cell>
          <cell r="Y23">
            <v>0</v>
          </cell>
          <cell r="AB23">
            <v>0</v>
          </cell>
        </row>
        <row r="24">
          <cell r="J24">
            <v>0</v>
          </cell>
          <cell r="R24">
            <v>0</v>
          </cell>
          <cell r="Y24">
            <v>0</v>
          </cell>
          <cell r="AB24">
            <v>0</v>
          </cell>
        </row>
        <row r="25">
          <cell r="Y25">
            <v>0</v>
          </cell>
          <cell r="Z25">
            <v>0</v>
          </cell>
          <cell r="AB25">
            <v>0</v>
          </cell>
        </row>
        <row r="26">
          <cell r="AB26">
            <v>0</v>
          </cell>
        </row>
        <row r="27">
          <cell r="AB27">
            <v>0</v>
          </cell>
        </row>
        <row r="28">
          <cell r="J28">
            <v>0</v>
          </cell>
          <cell r="R28">
            <v>0</v>
          </cell>
          <cell r="AB28">
            <v>0</v>
          </cell>
        </row>
        <row r="29">
          <cell r="J29">
            <v>0</v>
          </cell>
          <cell r="R29">
            <v>0</v>
          </cell>
        </row>
        <row r="30">
          <cell r="J30">
            <v>0</v>
          </cell>
          <cell r="Y30">
            <v>0</v>
          </cell>
          <cell r="AB30">
            <v>0</v>
          </cell>
        </row>
        <row r="31">
          <cell r="J31">
            <v>0</v>
          </cell>
          <cell r="Y31">
            <v>0</v>
          </cell>
          <cell r="Z31">
            <v>0</v>
          </cell>
          <cell r="AB31">
            <v>0</v>
          </cell>
        </row>
        <row r="33">
          <cell r="R33">
            <v>0</v>
          </cell>
          <cell r="AB33">
            <v>0</v>
          </cell>
        </row>
        <row r="34">
          <cell r="J34">
            <v>0</v>
          </cell>
          <cell r="R34">
            <v>0</v>
          </cell>
          <cell r="AB34">
            <v>0</v>
          </cell>
        </row>
        <row r="35">
          <cell r="J35">
            <v>0</v>
          </cell>
          <cell r="R35">
            <v>0</v>
          </cell>
        </row>
        <row r="36">
          <cell r="Y36">
            <v>0</v>
          </cell>
        </row>
        <row r="37">
          <cell r="AL37">
            <v>900</v>
          </cell>
          <cell r="AS37">
            <v>90</v>
          </cell>
        </row>
        <row r="41">
          <cell r="AA41">
            <v>0</v>
          </cell>
          <cell r="AB41">
            <v>1</v>
          </cell>
          <cell r="AC41" t="str">
            <v>Exploitations spécialisées en grandes cultures</v>
          </cell>
          <cell r="AD41" t="str">
            <v>Specialist field crops</v>
          </cell>
          <cell r="AE41" t="str">
            <v>Biljna proizvodnja - ratarstvo</v>
          </cell>
          <cell r="AF41" t="b">
            <v>0</v>
          </cell>
          <cell r="AP41">
            <v>0</v>
          </cell>
          <cell r="AQ41">
            <v>10</v>
          </cell>
          <cell r="AR41" t="str">
            <v>Specialist field crops</v>
          </cell>
          <cell r="AS41" t="str">
            <v>Exploitations spécialisées en grandes cultures</v>
          </cell>
          <cell r="AT41" t="str">
            <v xml:space="preserve">Ratarstvo </v>
          </cell>
          <cell r="AU41" t="b">
            <v>0</v>
          </cell>
        </row>
        <row r="42">
          <cell r="AA42">
            <v>0</v>
          </cell>
          <cell r="AB42">
            <v>2</v>
          </cell>
          <cell r="AC42" t="str">
            <v>Exploitations horticoles spécialisées</v>
          </cell>
          <cell r="AD42" t="str">
            <v>Specialist horticulture</v>
          </cell>
          <cell r="AE42" t="str">
            <v>Biljna proizvodnja - povrćarstvo, cvjećarstvo i ukrasno bilje</v>
          </cell>
          <cell r="AF42" t="b">
            <v>0</v>
          </cell>
          <cell r="AM42" t="b">
            <v>0</v>
          </cell>
          <cell r="AP42">
            <v>0</v>
          </cell>
          <cell r="AQ42">
            <v>20</v>
          </cell>
          <cell r="AR42" t="str">
            <v>Specialist horticulture</v>
          </cell>
          <cell r="AS42" t="str">
            <v>Exploitations horticoles spécialisées</v>
          </cell>
          <cell r="AT42" t="str">
            <v xml:space="preserve">Povrćarstvo i cvjećarstvo </v>
          </cell>
          <cell r="AU42" t="b">
            <v>0</v>
          </cell>
        </row>
        <row r="43">
          <cell r="J43">
            <v>0</v>
          </cell>
          <cell r="R43">
            <v>0</v>
          </cell>
          <cell r="AA43">
            <v>0</v>
          </cell>
          <cell r="AB43">
            <v>3</v>
          </cell>
          <cell r="AC43" t="str">
            <v>Exploitations spécialisées en cultures permanentes</v>
          </cell>
          <cell r="AD43" t="str">
            <v>Specialist permanent crops</v>
          </cell>
          <cell r="AE43" t="str">
            <v>Biljna proizvodnja - voćarstvo, vinogradarstvo i maslinarstvo</v>
          </cell>
          <cell r="AF43" t="b">
            <v>0</v>
          </cell>
          <cell r="AP43">
            <v>0</v>
          </cell>
          <cell r="AQ43">
            <v>30</v>
          </cell>
          <cell r="AR43" t="str">
            <v>Specialist permanent crops</v>
          </cell>
          <cell r="AS43" t="str">
            <v>Exploitations spécialisées en cultures permanentes</v>
          </cell>
          <cell r="AT43" t="str">
            <v xml:space="preserve">Trajni nasadi </v>
          </cell>
          <cell r="AU43" t="b">
            <v>0</v>
          </cell>
        </row>
        <row r="44">
          <cell r="R44">
            <v>0</v>
          </cell>
          <cell r="AA44">
            <v>0</v>
          </cell>
          <cell r="AB44">
            <v>4</v>
          </cell>
          <cell r="AC44" t="str">
            <v>Exploitations spécialisées herbivores</v>
          </cell>
          <cell r="AD44" t="str">
            <v>Specialist grazing livestock</v>
          </cell>
          <cell r="AE44" t="str">
            <v>Stočarstvo - govedarstvo, ovčarstvo i kozarstvo</v>
          </cell>
          <cell r="AF44" t="b">
            <v>0</v>
          </cell>
          <cell r="AM44" t="b">
            <v>0</v>
          </cell>
          <cell r="AP44">
            <v>0</v>
          </cell>
          <cell r="AQ44">
            <v>40</v>
          </cell>
          <cell r="AR44" t="str">
            <v>Specialist grazing livestock</v>
          </cell>
          <cell r="AS44" t="str">
            <v>Exploitations spécialisées herbivores</v>
          </cell>
          <cell r="AT44" t="str">
            <v xml:space="preserve">Mliječno govedarstvo </v>
          </cell>
          <cell r="AU44" t="b">
            <v>0</v>
          </cell>
        </row>
        <row r="45">
          <cell r="R45">
            <v>0</v>
          </cell>
          <cell r="AA45">
            <v>0</v>
          </cell>
          <cell r="AB45">
            <v>5</v>
          </cell>
          <cell r="AC45" t="str">
            <v>Exploitations spécialisées de production animale hors sol (granivores)</v>
          </cell>
          <cell r="AD45" t="str">
            <v>Specialist granivores</v>
          </cell>
          <cell r="AE45" t="str">
            <v>Stočarstvo - svinjogojstvo i peradarstvo</v>
          </cell>
          <cell r="AF45" t="b">
            <v>0</v>
          </cell>
          <cell r="AM45" t="b">
            <v>0</v>
          </cell>
          <cell r="AP45">
            <v>0</v>
          </cell>
          <cell r="AQ45">
            <v>50</v>
          </cell>
          <cell r="AR45" t="str">
            <v>Specialist granivores</v>
          </cell>
          <cell r="AS45" t="str">
            <v>Exploitations spécialisées de production animale hors sol (granivores)</v>
          </cell>
          <cell r="AT45" t="str">
            <v xml:space="preserve">Govedarstvo, ovčarstvo i kozarstvo </v>
          </cell>
          <cell r="AU45" t="b">
            <v>0</v>
          </cell>
        </row>
        <row r="46">
          <cell r="R46">
            <v>0</v>
          </cell>
          <cell r="S46">
            <v>0</v>
          </cell>
          <cell r="AA46">
            <v>0</v>
          </cell>
          <cell r="AB46">
            <v>6</v>
          </cell>
          <cell r="AC46" t="str">
            <v>Exploitations de polyculture</v>
          </cell>
          <cell r="AD46" t="str">
            <v>Mixed cropping</v>
          </cell>
          <cell r="AE46" t="str">
            <v>Biljna proizvodnja - kombinirano</v>
          </cell>
          <cell r="AF46" t="b">
            <v>0</v>
          </cell>
          <cell r="AM46" t="b">
            <v>0</v>
          </cell>
          <cell r="AP46">
            <v>0</v>
          </cell>
          <cell r="AQ46">
            <v>60</v>
          </cell>
          <cell r="AR46" t="str">
            <v>Mixed cropping</v>
          </cell>
          <cell r="AS46" t="str">
            <v>Exploitations de polyculture</v>
          </cell>
          <cell r="AT46" t="str">
            <v xml:space="preserve">Svinjogojstvo i peradarstvo </v>
          </cell>
          <cell r="AU46" t="b">
            <v>0</v>
          </cell>
        </row>
        <row r="47">
          <cell r="K47" t="str">
            <v>0</v>
          </cell>
          <cell r="AA47">
            <v>0</v>
          </cell>
          <cell r="AB47">
            <v>7</v>
          </cell>
          <cell r="AC47" t="str">
            <v>Exploitations de polyélevage</v>
          </cell>
          <cell r="AD47" t="str">
            <v>Mixed livestock holdings</v>
          </cell>
          <cell r="AE47" t="str">
            <v>Stočarstvo - kombinirano</v>
          </cell>
          <cell r="AF47" t="b">
            <v>0</v>
          </cell>
          <cell r="AM47" t="b">
            <v>0</v>
          </cell>
          <cell r="AP47">
            <v>0</v>
          </cell>
          <cell r="AQ47">
            <v>70</v>
          </cell>
          <cell r="AR47" t="str">
            <v>Mixed livestock holdings</v>
          </cell>
          <cell r="AS47" t="str">
            <v>Exploitations de polyélevage</v>
          </cell>
          <cell r="AT47" t="str">
            <v>Mješovita poljoprivredna gospodarstva</v>
          </cell>
          <cell r="AU47" t="b">
            <v>0</v>
          </cell>
        </row>
        <row r="48">
          <cell r="J48">
            <v>0</v>
          </cell>
          <cell r="AA48">
            <v>0</v>
          </cell>
          <cell r="AB48">
            <v>8</v>
          </cell>
          <cell r="AC48" t="str">
            <v>Exploitations mixtes cultures-élevage</v>
          </cell>
          <cell r="AD48" t="str">
            <v>Mixed crops - livestock</v>
          </cell>
          <cell r="AE48" t="str">
            <v>Biljna proizvodnja i stočarstvo - kombinirano</v>
          </cell>
          <cell r="AF48" t="b">
            <v>0</v>
          </cell>
          <cell r="AM48" t="b">
            <v>0</v>
          </cell>
          <cell r="AP48">
            <v>1</v>
          </cell>
          <cell r="AQ48">
            <v>90</v>
          </cell>
          <cell r="AR48" t="str">
            <v>Mixed crops - livestock</v>
          </cell>
          <cell r="AS48" t="str">
            <v>Exploitations mixtes cultures-élevage</v>
          </cell>
          <cell r="AT48" t="str">
            <v>Neklasificirano poljoprivredno gospodarstvo</v>
          </cell>
          <cell r="AU48" t="b">
            <v>1</v>
          </cell>
        </row>
        <row r="49">
          <cell r="J49">
            <v>0</v>
          </cell>
          <cell r="AA49">
            <v>1</v>
          </cell>
          <cell r="AB49">
            <v>9</v>
          </cell>
          <cell r="AC49" t="str">
            <v>Exploitations non classées</v>
          </cell>
          <cell r="AD49" t="str">
            <v>Non-classifiable holdings</v>
          </cell>
          <cell r="AE49" t="str">
            <v>Neklasificirana poljoprivredna gospodarstva</v>
          </cell>
          <cell r="AF49" t="b">
            <v>1</v>
          </cell>
        </row>
        <row r="50">
          <cell r="J50">
            <v>0</v>
          </cell>
          <cell r="R50">
            <v>0</v>
          </cell>
          <cell r="AM50" t="b">
            <v>0</v>
          </cell>
        </row>
        <row r="51">
          <cell r="J51">
            <v>0</v>
          </cell>
          <cell r="R51">
            <v>0</v>
          </cell>
          <cell r="AM51" t="b">
            <v>0</v>
          </cell>
        </row>
        <row r="52">
          <cell r="J52">
            <v>0</v>
          </cell>
          <cell r="R52">
            <v>0</v>
          </cell>
          <cell r="AM52" t="b">
            <v>0</v>
          </cell>
        </row>
        <row r="53">
          <cell r="J53">
            <v>0</v>
          </cell>
          <cell r="AD53">
            <v>90</v>
          </cell>
          <cell r="AM53" t="b">
            <v>0</v>
          </cell>
        </row>
        <row r="54">
          <cell r="AM54" t="b">
            <v>0</v>
          </cell>
        </row>
        <row r="55">
          <cell r="AM55" t="b">
            <v>0</v>
          </cell>
        </row>
        <row r="56">
          <cell r="R56">
            <v>0</v>
          </cell>
          <cell r="AA56">
            <v>0</v>
          </cell>
          <cell r="AB56">
            <v>15</v>
          </cell>
          <cell r="AC56" t="str">
            <v>Specialist cereals, oilseeds and protein crops</v>
          </cell>
          <cell r="AD56" t="str">
            <v>Exploitations spécialisées en céréaliculture et en culture de plantes oléagineuses et protéagineuses</v>
          </cell>
          <cell r="AE56" t="str">
            <v>Uzgoj žitarica, uljarica i proteinskih usjeva</v>
          </cell>
          <cell r="AF56" t="b">
            <v>0</v>
          </cell>
          <cell r="AM56" t="b">
            <v>0</v>
          </cell>
        </row>
        <row r="57">
          <cell r="J57">
            <v>0</v>
          </cell>
          <cell r="AA57">
            <v>0</v>
          </cell>
          <cell r="AB57">
            <v>16</v>
          </cell>
          <cell r="AC57" t="str">
            <v>General field cropping</v>
          </cell>
          <cell r="AD57" t="str">
            <v>Exploitations spécialisées en grandes cultures de type général</v>
          </cell>
          <cell r="AE57" t="str">
            <v>Uzgoj različitih biljnih usjeva</v>
          </cell>
          <cell r="AF57" t="b">
            <v>0</v>
          </cell>
          <cell r="AM57" t="b">
            <v>0</v>
          </cell>
        </row>
        <row r="58">
          <cell r="J58">
            <v>0</v>
          </cell>
          <cell r="K58">
            <v>0</v>
          </cell>
          <cell r="AA58">
            <v>0</v>
          </cell>
          <cell r="AB58">
            <v>21</v>
          </cell>
          <cell r="AC58" t="str">
            <v>Specialist horticulture indoor</v>
          </cell>
          <cell r="AD58" t="str">
            <v>Exploitations horticoles d'intérieur</v>
          </cell>
          <cell r="AE58" t="str">
            <v>Uzgoj povrća, cvijeća i ukrasnog bilja u zaštićenim prostorima</v>
          </cell>
          <cell r="AF58" t="b">
            <v>0</v>
          </cell>
          <cell r="AM58" t="b">
            <v>0</v>
          </cell>
        </row>
        <row r="59">
          <cell r="AA59">
            <v>0</v>
          </cell>
          <cell r="AB59">
            <v>22</v>
          </cell>
          <cell r="AC59" t="str">
            <v>Specialist horticulture outdoor</v>
          </cell>
          <cell r="AD59" t="str">
            <v>Exploitations horticoles de plein air</v>
          </cell>
          <cell r="AE59" t="str">
            <v>Uzgoj povrća, cvijeća i ukrasnog bilja na otvorenom</v>
          </cell>
          <cell r="AF59" t="b">
            <v>0</v>
          </cell>
          <cell r="AM59" t="b">
            <v>0</v>
          </cell>
        </row>
        <row r="60">
          <cell r="R60">
            <v>0</v>
          </cell>
          <cell r="AA60">
            <v>0</v>
          </cell>
          <cell r="AB60">
            <v>23</v>
          </cell>
          <cell r="AC60" t="str">
            <v>Other horticulture</v>
          </cell>
          <cell r="AD60" t="str">
            <v>Autres types d'horticulture</v>
          </cell>
          <cell r="AE60" t="str">
            <v>Gljivarstvo i rasadničarstvo</v>
          </cell>
          <cell r="AF60" t="b">
            <v>0</v>
          </cell>
          <cell r="AM60" t="b">
            <v>0</v>
          </cell>
        </row>
        <row r="61">
          <cell r="AA61">
            <v>0</v>
          </cell>
          <cell r="AB61">
            <v>35</v>
          </cell>
          <cell r="AC61" t="str">
            <v>Specialist vineyards</v>
          </cell>
          <cell r="AD61" t="str">
            <v>Exploitations spécialisées en viticulture</v>
          </cell>
          <cell r="AE61" t="str">
            <v>Vinogradarstvo i vinarstvo</v>
          </cell>
          <cell r="AF61" t="b">
            <v>0</v>
          </cell>
          <cell r="AM61" t="b">
            <v>0</v>
          </cell>
        </row>
        <row r="62">
          <cell r="J62">
            <v>0</v>
          </cell>
          <cell r="AA62">
            <v>0</v>
          </cell>
          <cell r="AB62">
            <v>36</v>
          </cell>
          <cell r="AC62" t="str">
            <v>Specialist fruit and citrus fruit</v>
          </cell>
          <cell r="AD62" t="str">
            <v>Exploitations fruitières et agrumicoles spécialisées</v>
          </cell>
          <cell r="AE62" t="str">
            <v>Voćarstvo</v>
          </cell>
          <cell r="AF62" t="b">
            <v>0</v>
          </cell>
          <cell r="AM62" t="b">
            <v>0</v>
          </cell>
        </row>
        <row r="63">
          <cell r="J63">
            <v>0</v>
          </cell>
          <cell r="K63">
            <v>0</v>
          </cell>
          <cell r="AA63">
            <v>0</v>
          </cell>
          <cell r="AB63">
            <v>37</v>
          </cell>
          <cell r="AC63" t="str">
            <v>Specialist olives</v>
          </cell>
          <cell r="AD63" t="str">
            <v>Exploitations oléicoles spécialisées</v>
          </cell>
          <cell r="AE63" t="str">
            <v>Maslinarstvo</v>
          </cell>
          <cell r="AF63" t="b">
            <v>0</v>
          </cell>
          <cell r="AM63" t="b">
            <v>0</v>
          </cell>
        </row>
        <row r="64">
          <cell r="R64">
            <v>0</v>
          </cell>
          <cell r="AA64">
            <v>0</v>
          </cell>
          <cell r="AB64">
            <v>38</v>
          </cell>
          <cell r="AC64" t="str">
            <v>Various permanent crops combined</v>
          </cell>
          <cell r="AD64" t="str">
            <v>Exploitations avec diverses combinaisons de cultures permanentes</v>
          </cell>
          <cell r="AE64" t="str">
            <v>Različite vrste trajnih nasada</v>
          </cell>
          <cell r="AF64" t="b">
            <v>0</v>
          </cell>
          <cell r="AM64" t="b">
            <v>0</v>
          </cell>
        </row>
        <row r="65">
          <cell r="AA65">
            <v>0</v>
          </cell>
          <cell r="AB65">
            <v>45</v>
          </cell>
          <cell r="AC65" t="str">
            <v>Specialist dairying</v>
          </cell>
          <cell r="AD65" t="str">
            <v>Exploitations bovines spécialisées — orientation lait</v>
          </cell>
          <cell r="AE65" t="str">
            <v>Mliječna goveda</v>
          </cell>
          <cell r="AF65" t="b">
            <v>0</v>
          </cell>
          <cell r="AM65" t="b">
            <v>0</v>
          </cell>
        </row>
        <row r="66">
          <cell r="AA66">
            <v>0</v>
          </cell>
          <cell r="AB66">
            <v>46</v>
          </cell>
          <cell r="AC66" t="str">
            <v>Specialist cattle – rearing and fattening</v>
          </cell>
          <cell r="AD66" t="str">
            <v>Exploitations bovines spécialisées — orientation élevage et viande</v>
          </cell>
          <cell r="AE66" t="str">
            <v>Uzgoj krava-tele</v>
          </cell>
          <cell r="AF66" t="b">
            <v>0</v>
          </cell>
          <cell r="AM66" t="b">
            <v>0</v>
          </cell>
        </row>
        <row r="67">
          <cell r="AA67">
            <v>0</v>
          </cell>
          <cell r="AB67">
            <v>47</v>
          </cell>
          <cell r="AC67" t="str">
            <v>Cattle – dairying, rearing and fattening combined</v>
          </cell>
          <cell r="AD67" t="str">
            <v>Exploitations bovines — lait, élevage et viande combinés</v>
          </cell>
          <cell r="AE67" t="str">
            <v>Govedarstvo - kombinirano</v>
          </cell>
          <cell r="AF67" t="b">
            <v>0</v>
          </cell>
        </row>
        <row r="68">
          <cell r="AA68">
            <v>0</v>
          </cell>
          <cell r="AB68">
            <v>48</v>
          </cell>
          <cell r="AC68" t="str">
            <v>Sheep, goats and other grazing livestock</v>
          </cell>
          <cell r="AD68" t="str">
            <v>Exploitations avec ovins, caprins et autres herbivores</v>
          </cell>
          <cell r="AE68" t="str">
            <v>Ovce i koze</v>
          </cell>
          <cell r="AF68" t="b">
            <v>0</v>
          </cell>
          <cell r="AM68" t="b">
            <v>0</v>
          </cell>
        </row>
        <row r="69">
          <cell r="AA69">
            <v>0</v>
          </cell>
          <cell r="AB69">
            <v>51</v>
          </cell>
          <cell r="AC69" t="str">
            <v>Specialist pigs</v>
          </cell>
          <cell r="AD69" t="str">
            <v>Exploitations porcines spécialisées</v>
          </cell>
          <cell r="AE69" t="str">
            <v>Svinjogojstvo</v>
          </cell>
          <cell r="AF69" t="b">
            <v>0</v>
          </cell>
          <cell r="AM69" t="b">
            <v>0</v>
          </cell>
        </row>
        <row r="70">
          <cell r="AA70">
            <v>0</v>
          </cell>
          <cell r="AB70">
            <v>52</v>
          </cell>
          <cell r="AC70" t="str">
            <v>Specialist poultry</v>
          </cell>
          <cell r="AD70" t="str">
            <v>Exploitations avicoles spécialisées</v>
          </cell>
          <cell r="AE70" t="str">
            <v>Peradarstvo</v>
          </cell>
          <cell r="AF70" t="b">
            <v>0</v>
          </cell>
          <cell r="AM70" t="b">
            <v>0</v>
          </cell>
        </row>
        <row r="71">
          <cell r="AA71">
            <v>0</v>
          </cell>
          <cell r="AB71">
            <v>53</v>
          </cell>
          <cell r="AC71" t="str">
            <v>Various granivores combined</v>
          </cell>
          <cell r="AD71" t="str">
            <v>Exploitations avec diverses combinaisons de granivores</v>
          </cell>
          <cell r="AE71" t="str">
            <v>Poljoprivrednih gospodarstava s raznim kombinacijama granivorous</v>
          </cell>
          <cell r="AF71" t="b">
            <v>0</v>
          </cell>
          <cell r="AM71" t="b">
            <v>0</v>
          </cell>
        </row>
        <row r="72">
          <cell r="AA72">
            <v>0</v>
          </cell>
          <cell r="AB72">
            <v>61</v>
          </cell>
          <cell r="AC72" t="str">
            <v>Mixed cropping</v>
          </cell>
          <cell r="AD72" t="str">
            <v>Exploitations de polyculture</v>
          </cell>
          <cell r="AE72" t="str">
            <v>Biljna proizvodnja - kombinirano</v>
          </cell>
          <cell r="AF72" t="b">
            <v>0</v>
          </cell>
          <cell r="AM72" t="b">
            <v>0</v>
          </cell>
        </row>
        <row r="73">
          <cell r="AA73">
            <v>0</v>
          </cell>
          <cell r="AB73">
            <v>73</v>
          </cell>
          <cell r="AC73" t="str">
            <v>Mixed livestock, mainly grazing livestock</v>
          </cell>
          <cell r="AD73" t="str">
            <v>Exploitations de polyélevage à orientation herbivores</v>
          </cell>
          <cell r="AE73" t="str">
            <v>Stočarstvo - kombinirano, uglavnom goveda, ovce i koze</v>
          </cell>
          <cell r="AF73" t="b">
            <v>0</v>
          </cell>
          <cell r="AM73" t="b">
            <v>0</v>
          </cell>
        </row>
        <row r="74">
          <cell r="AA74">
            <v>0</v>
          </cell>
          <cell r="AB74">
            <v>74</v>
          </cell>
          <cell r="AC74" t="str">
            <v>Mixed livestock, mainly granivores</v>
          </cell>
          <cell r="AD74" t="str">
            <v>Exploitations de polyélevage à orientation granivores</v>
          </cell>
          <cell r="AE74" t="str">
            <v>Stočarstvo - kombinirano, uglavnom svinje i perad</v>
          </cell>
          <cell r="AF74" t="b">
            <v>0</v>
          </cell>
          <cell r="AM74" t="b">
            <v>0</v>
          </cell>
        </row>
        <row r="75">
          <cell r="AA75">
            <v>0</v>
          </cell>
          <cell r="AB75">
            <v>83</v>
          </cell>
          <cell r="AC75" t="str">
            <v>Field crops – grazing livestock combined</v>
          </cell>
          <cell r="AD75" t="str">
            <v>Exploitations mixtes cultures-élevage</v>
          </cell>
          <cell r="AE75" t="str">
            <v>Ratarski usjevi uz držanje goveda, ovaca i koza</v>
          </cell>
          <cell r="AF75" t="b">
            <v>0</v>
          </cell>
          <cell r="AM75" t="b">
            <v>0</v>
          </cell>
        </row>
        <row r="76">
          <cell r="AA76">
            <v>0</v>
          </cell>
          <cell r="AB76">
            <v>84</v>
          </cell>
          <cell r="AC76" t="str">
            <v>Various crops and livestock combined</v>
          </cell>
          <cell r="AD76" t="str">
            <v>Exploitations mixtes avec diverses combinaisons cultures-élevage</v>
          </cell>
          <cell r="AE76" t="str">
            <v>Različiti usjevi uz stočarstvo</v>
          </cell>
          <cell r="AF76" t="b">
            <v>0</v>
          </cell>
          <cell r="AM76" t="b">
            <v>0</v>
          </cell>
        </row>
        <row r="77">
          <cell r="AA77">
            <v>1</v>
          </cell>
          <cell r="AB77">
            <v>90</v>
          </cell>
          <cell r="AC77" t="str">
            <v>Non-classified holdings</v>
          </cell>
          <cell r="AD77" t="str">
            <v>Exploitations non classées</v>
          </cell>
          <cell r="AE77" t="str">
            <v>Neklasificirana poljoprivredna gospodarstva</v>
          </cell>
          <cell r="AF77" t="b">
            <v>1</v>
          </cell>
          <cell r="AM77" t="b">
            <v>0</v>
          </cell>
        </row>
        <row r="78">
          <cell r="AM78" t="b">
            <v>0</v>
          </cell>
        </row>
        <row r="79">
          <cell r="AM79" t="b">
            <v>0</v>
          </cell>
        </row>
        <row r="80">
          <cell r="AM80" t="b">
            <v>0</v>
          </cell>
        </row>
        <row r="81">
          <cell r="AM81" t="b">
            <v>0</v>
          </cell>
        </row>
        <row r="82">
          <cell r="AM82" t="b">
            <v>0</v>
          </cell>
        </row>
        <row r="83">
          <cell r="AM83" t="b">
            <v>0</v>
          </cell>
        </row>
        <row r="85">
          <cell r="AM85" t="b">
            <v>0</v>
          </cell>
        </row>
        <row r="86">
          <cell r="AM86" t="b">
            <v>0</v>
          </cell>
        </row>
        <row r="87">
          <cell r="AM87" t="b">
            <v>0</v>
          </cell>
        </row>
        <row r="88">
          <cell r="AF88" t="e">
            <v>#N/A</v>
          </cell>
          <cell r="AM88" t="b">
            <v>0</v>
          </cell>
        </row>
        <row r="89">
          <cell r="AM89" t="b">
            <v>0</v>
          </cell>
        </row>
        <row r="90">
          <cell r="AA90">
            <v>0</v>
          </cell>
          <cell r="AB90">
            <v>1</v>
          </cell>
          <cell r="AC90">
            <v>0</v>
          </cell>
          <cell r="AD90">
            <v>2000</v>
          </cell>
          <cell r="AE90" t="str">
            <v>&lt; 2.000 €</v>
          </cell>
          <cell r="AF90" t="b">
            <v>0</v>
          </cell>
          <cell r="AM90" t="b">
            <v>0</v>
          </cell>
        </row>
        <row r="91">
          <cell r="AA91">
            <v>0</v>
          </cell>
          <cell r="AB91">
            <v>2</v>
          </cell>
          <cell r="AC91">
            <v>2000</v>
          </cell>
          <cell r="AD91">
            <v>4000</v>
          </cell>
          <cell r="AE91" t="str">
            <v>2.000 - 4.000 €</v>
          </cell>
          <cell r="AF91" t="b">
            <v>0</v>
          </cell>
          <cell r="AM91" t="b">
            <v>0</v>
          </cell>
        </row>
        <row r="92">
          <cell r="AA92">
            <v>0</v>
          </cell>
          <cell r="AB92">
            <v>3</v>
          </cell>
          <cell r="AC92">
            <v>4000</v>
          </cell>
          <cell r="AD92">
            <v>8000</v>
          </cell>
          <cell r="AE92" t="str">
            <v>4.000 - 8.000 €</v>
          </cell>
          <cell r="AF92" t="b">
            <v>0</v>
          </cell>
          <cell r="AM92" t="b">
            <v>0</v>
          </cell>
        </row>
        <row r="93">
          <cell r="AA93">
            <v>0</v>
          </cell>
          <cell r="AB93">
            <v>4</v>
          </cell>
          <cell r="AC93">
            <v>8000</v>
          </cell>
          <cell r="AD93">
            <v>15000</v>
          </cell>
          <cell r="AE93" t="str">
            <v>8.000 - 15.000 €</v>
          </cell>
          <cell r="AF93" t="b">
            <v>0</v>
          </cell>
          <cell r="AM93" t="b">
            <v>0</v>
          </cell>
        </row>
        <row r="94">
          <cell r="AA94">
            <v>0</v>
          </cell>
          <cell r="AB94">
            <v>5</v>
          </cell>
          <cell r="AC94">
            <v>15000</v>
          </cell>
          <cell r="AD94">
            <v>25000</v>
          </cell>
          <cell r="AE94" t="str">
            <v>15.000 - 25.000 €</v>
          </cell>
          <cell r="AF94" t="b">
            <v>0</v>
          </cell>
          <cell r="AM94" t="b">
            <v>0</v>
          </cell>
        </row>
        <row r="95">
          <cell r="AA95">
            <v>0</v>
          </cell>
          <cell r="AB95">
            <v>6</v>
          </cell>
          <cell r="AC95">
            <v>25000</v>
          </cell>
          <cell r="AD95">
            <v>50000</v>
          </cell>
          <cell r="AE95" t="str">
            <v>25.000 - 50.000 €</v>
          </cell>
          <cell r="AF95" t="b">
            <v>0</v>
          </cell>
          <cell r="AM95" t="b">
            <v>0</v>
          </cell>
        </row>
        <row r="96">
          <cell r="AA96">
            <v>0</v>
          </cell>
          <cell r="AB96">
            <v>7</v>
          </cell>
          <cell r="AC96">
            <v>50000</v>
          </cell>
          <cell r="AD96">
            <v>100000</v>
          </cell>
          <cell r="AE96" t="str">
            <v>50.000 - 100.000 €</v>
          </cell>
          <cell r="AF96" t="b">
            <v>0</v>
          </cell>
          <cell r="AM96" t="b">
            <v>0</v>
          </cell>
        </row>
        <row r="97">
          <cell r="AA97">
            <v>0</v>
          </cell>
          <cell r="AB97">
            <v>8</v>
          </cell>
          <cell r="AC97">
            <v>100000</v>
          </cell>
          <cell r="AD97">
            <v>250000</v>
          </cell>
          <cell r="AE97" t="str">
            <v>100.000 - 250.000 €</v>
          </cell>
          <cell r="AF97" t="b">
            <v>0</v>
          </cell>
          <cell r="AM97" t="b">
            <v>0</v>
          </cell>
        </row>
        <row r="98">
          <cell r="AA98">
            <v>0</v>
          </cell>
          <cell r="AB98">
            <v>9</v>
          </cell>
          <cell r="AC98">
            <v>250000</v>
          </cell>
          <cell r="AD98">
            <v>500000</v>
          </cell>
          <cell r="AE98" t="str">
            <v>250.000 - 500.000 €</v>
          </cell>
          <cell r="AF98" t="b">
            <v>0</v>
          </cell>
          <cell r="AM98" t="b">
            <v>0</v>
          </cell>
        </row>
        <row r="99">
          <cell r="AA99">
            <v>0</v>
          </cell>
          <cell r="AB99">
            <v>10</v>
          </cell>
          <cell r="AC99">
            <v>500000</v>
          </cell>
          <cell r="AD99">
            <v>750000</v>
          </cell>
          <cell r="AE99" t="str">
            <v>500.000 - 750.000 €</v>
          </cell>
          <cell r="AF99" t="b">
            <v>0</v>
          </cell>
          <cell r="AM99" t="b">
            <v>0</v>
          </cell>
        </row>
        <row r="100">
          <cell r="AA100">
            <v>0</v>
          </cell>
          <cell r="AB100">
            <v>11</v>
          </cell>
          <cell r="AC100">
            <v>750000</v>
          </cell>
          <cell r="AD100">
            <v>1000000</v>
          </cell>
          <cell r="AE100" t="str">
            <v>750.000 - 1.000.000 €</v>
          </cell>
          <cell r="AF100" t="b">
            <v>0</v>
          </cell>
          <cell r="AM100" t="b">
            <v>0</v>
          </cell>
        </row>
        <row r="101">
          <cell r="AA101">
            <v>0</v>
          </cell>
          <cell r="AB101">
            <v>12</v>
          </cell>
          <cell r="AC101">
            <v>1000000</v>
          </cell>
          <cell r="AD101">
            <v>1500000</v>
          </cell>
          <cell r="AE101" t="str">
            <v>1.000.000 - 1.500.000 €</v>
          </cell>
          <cell r="AF101" t="b">
            <v>0</v>
          </cell>
          <cell r="AM101" t="b">
            <v>0</v>
          </cell>
        </row>
        <row r="102">
          <cell r="AA102">
            <v>0</v>
          </cell>
          <cell r="AB102">
            <v>13</v>
          </cell>
          <cell r="AC102">
            <v>1500000</v>
          </cell>
          <cell r="AD102">
            <v>3000000</v>
          </cell>
          <cell r="AE102" t="str">
            <v>1.500.000 - 3.000.000 €</v>
          </cell>
          <cell r="AF102" t="b">
            <v>0</v>
          </cell>
          <cell r="AM102" t="b">
            <v>0</v>
          </cell>
        </row>
        <row r="103">
          <cell r="AA103">
            <v>0</v>
          </cell>
          <cell r="AB103">
            <v>14</v>
          </cell>
          <cell r="AC103">
            <v>3000000</v>
          </cell>
          <cell r="AE103" t="str">
            <v>&gt; 3.000.000 €</v>
          </cell>
          <cell r="AF103" t="b">
            <v>0</v>
          </cell>
          <cell r="AM103" t="b">
            <v>1</v>
          </cell>
        </row>
        <row r="107">
          <cell r="AA107">
            <v>0</v>
          </cell>
          <cell r="AB107">
            <v>1</v>
          </cell>
          <cell r="AC107">
            <v>2000</v>
          </cell>
          <cell r="AD107">
            <v>8000</v>
          </cell>
          <cell r="AF107" t="b">
            <v>0</v>
          </cell>
        </row>
        <row r="108">
          <cell r="AA108">
            <v>0</v>
          </cell>
          <cell r="AB108">
            <v>2</v>
          </cell>
          <cell r="AC108">
            <v>8000</v>
          </cell>
          <cell r="AD108">
            <v>15000</v>
          </cell>
          <cell r="AF108" t="b">
            <v>0</v>
          </cell>
        </row>
        <row r="109">
          <cell r="AA109">
            <v>0</v>
          </cell>
          <cell r="AB109">
            <v>3</v>
          </cell>
          <cell r="AC109">
            <v>15000</v>
          </cell>
          <cell r="AD109">
            <v>25000</v>
          </cell>
          <cell r="AF109" t="b">
            <v>0</v>
          </cell>
        </row>
        <row r="110">
          <cell r="AA110">
            <v>0</v>
          </cell>
          <cell r="AB110">
            <v>4</v>
          </cell>
          <cell r="AC110">
            <v>25000</v>
          </cell>
          <cell r="AD110">
            <v>50000</v>
          </cell>
          <cell r="AF110" t="b">
            <v>0</v>
          </cell>
        </row>
        <row r="111">
          <cell r="AA111">
            <v>0</v>
          </cell>
          <cell r="AB111">
            <v>5</v>
          </cell>
          <cell r="AC111">
            <v>50000</v>
          </cell>
          <cell r="AD111">
            <v>100000</v>
          </cell>
          <cell r="AF111" t="b">
            <v>0</v>
          </cell>
        </row>
        <row r="112">
          <cell r="AA112">
            <v>0</v>
          </cell>
          <cell r="AB112">
            <v>6</v>
          </cell>
          <cell r="AC112">
            <v>100000</v>
          </cell>
          <cell r="AD112">
            <v>250000</v>
          </cell>
          <cell r="AF112" t="b">
            <v>0</v>
          </cell>
        </row>
        <row r="113">
          <cell r="AA113">
            <v>0</v>
          </cell>
          <cell r="AB113">
            <v>7</v>
          </cell>
          <cell r="AC113">
            <v>250000</v>
          </cell>
          <cell r="AD113">
            <v>500000</v>
          </cell>
          <cell r="AF113" t="b">
            <v>0</v>
          </cell>
        </row>
        <row r="114">
          <cell r="AA114">
            <v>0</v>
          </cell>
          <cell r="AB114">
            <v>8</v>
          </cell>
          <cell r="AC114">
            <v>500000</v>
          </cell>
          <cell r="AD114">
            <v>1000000</v>
          </cell>
          <cell r="AF114" t="b">
            <v>0</v>
          </cell>
        </row>
        <row r="115">
          <cell r="AA115">
            <v>0</v>
          </cell>
          <cell r="AB115">
            <v>9</v>
          </cell>
          <cell r="AC115">
            <v>1000000</v>
          </cell>
          <cell r="AF115" t="b">
            <v>0</v>
          </cell>
        </row>
        <row r="119">
          <cell r="AA119">
            <v>0</v>
          </cell>
          <cell r="AB119">
            <v>1</v>
          </cell>
          <cell r="AC119">
            <v>2000</v>
          </cell>
          <cell r="AD119">
            <v>8000</v>
          </cell>
          <cell r="AF119" t="b">
            <v>0</v>
          </cell>
        </row>
        <row r="120">
          <cell r="AA120">
            <v>0</v>
          </cell>
          <cell r="AB120">
            <v>2</v>
          </cell>
          <cell r="AC120">
            <v>8000</v>
          </cell>
          <cell r="AD120">
            <v>25000</v>
          </cell>
          <cell r="AF120" t="b">
            <v>0</v>
          </cell>
        </row>
        <row r="121">
          <cell r="AA121">
            <v>0</v>
          </cell>
          <cell r="AB121">
            <v>3</v>
          </cell>
          <cell r="AC121">
            <v>25000</v>
          </cell>
          <cell r="AD121">
            <v>50000</v>
          </cell>
          <cell r="AF121" t="b">
            <v>0</v>
          </cell>
        </row>
        <row r="122">
          <cell r="AA122">
            <v>0</v>
          </cell>
          <cell r="AB122">
            <v>4</v>
          </cell>
          <cell r="AC122">
            <v>50000</v>
          </cell>
          <cell r="AD122">
            <v>100000</v>
          </cell>
          <cell r="AF122" t="b">
            <v>0</v>
          </cell>
        </row>
        <row r="123">
          <cell r="AA123">
            <v>0</v>
          </cell>
          <cell r="AB123">
            <v>5</v>
          </cell>
          <cell r="AC123">
            <v>100000</v>
          </cell>
          <cell r="AD123">
            <v>500000</v>
          </cell>
          <cell r="AF123" t="b">
            <v>0</v>
          </cell>
        </row>
        <row r="124">
          <cell r="AA124">
            <v>0</v>
          </cell>
          <cell r="AB124">
            <v>6</v>
          </cell>
          <cell r="AC124">
            <v>500000</v>
          </cell>
          <cell r="AF124" t="b">
            <v>0</v>
          </cell>
        </row>
        <row r="131">
          <cell r="AA131">
            <v>0</v>
          </cell>
          <cell r="AB131">
            <v>1</v>
          </cell>
          <cell r="AC131">
            <v>4000</v>
          </cell>
          <cell r="AD131">
            <v>8000</v>
          </cell>
          <cell r="AF131" t="b">
            <v>0</v>
          </cell>
        </row>
        <row r="132">
          <cell r="AA132">
            <v>0</v>
          </cell>
          <cell r="AB132">
            <v>2</v>
          </cell>
          <cell r="AC132">
            <v>8000</v>
          </cell>
          <cell r="AD132">
            <v>25000</v>
          </cell>
          <cell r="AF132" t="b">
            <v>0</v>
          </cell>
        </row>
        <row r="133">
          <cell r="AA133">
            <v>0</v>
          </cell>
          <cell r="AB133">
            <v>3</v>
          </cell>
          <cell r="AC133">
            <v>25000</v>
          </cell>
          <cell r="AD133">
            <v>100000</v>
          </cell>
          <cell r="AF133" t="b">
            <v>0</v>
          </cell>
        </row>
        <row r="134">
          <cell r="AA134">
            <v>0</v>
          </cell>
          <cell r="AB134">
            <v>4</v>
          </cell>
          <cell r="AC134">
            <v>100000</v>
          </cell>
          <cell r="AD134">
            <v>500000</v>
          </cell>
          <cell r="AF134" t="b">
            <v>0</v>
          </cell>
        </row>
        <row r="135">
          <cell r="AA135">
            <v>0</v>
          </cell>
          <cell r="AB135">
            <v>5</v>
          </cell>
          <cell r="AC135">
            <v>500000</v>
          </cell>
          <cell r="AF135" t="b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EX"/>
      <sheetName val="IZJAVA"/>
      <sheetName val="SO"/>
      <sheetName val="CoefVeg"/>
      <sheetName val="CoefAni"/>
      <sheetName val="IZRAČUN"/>
    </sheetNames>
    <sheetDataSet>
      <sheetData sheetId="0" refreshError="1">
        <row r="36">
          <cell r="Y36">
            <v>0</v>
          </cell>
        </row>
        <row r="60">
          <cell r="R60">
            <v>0</v>
          </cell>
        </row>
        <row r="64">
          <cell r="R64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>
    <pageSetUpPr fitToPage="1"/>
  </sheetPr>
  <dimension ref="A1:BJ298"/>
  <sheetViews>
    <sheetView showGridLines="0" showRowColHeaders="0" showZeros="0" tabSelected="1" zoomScale="73" zoomScaleNormal="73" workbookViewId="0">
      <selection activeCell="P56" sqref="P56"/>
    </sheetView>
  </sheetViews>
  <sheetFormatPr defaultColWidth="11.42578125" defaultRowHeight="12.75" x14ac:dyDescent="0.2"/>
  <cols>
    <col min="1" max="1" width="3.140625" style="120" customWidth="1"/>
    <col min="2" max="2" width="14.7109375" style="3" customWidth="1"/>
    <col min="3" max="3" width="17.5703125" style="3" customWidth="1"/>
    <col min="4" max="4" width="3.7109375" style="3" customWidth="1"/>
    <col min="5" max="5" width="22.28515625" style="3" customWidth="1"/>
    <col min="6" max="6" width="15.7109375" style="3" hidden="1" customWidth="1"/>
    <col min="7" max="7" width="2.7109375" style="3" customWidth="1"/>
    <col min="8" max="8" width="10.7109375" style="3" customWidth="1"/>
    <col min="9" max="9" width="12.42578125" style="3" hidden="1" customWidth="1"/>
    <col min="10" max="10" width="15.5703125" style="3" customWidth="1"/>
    <col min="11" max="11" width="12.85546875" style="3" hidden="1" customWidth="1"/>
    <col min="12" max="12" width="2.42578125" style="290" customWidth="1"/>
    <col min="13" max="13" width="37.5703125" style="3" customWidth="1"/>
    <col min="14" max="14" width="11.7109375" style="3" customWidth="1"/>
    <col min="15" max="15" width="2.28515625" style="3" customWidth="1"/>
    <col min="16" max="16" width="10.7109375" style="3" customWidth="1"/>
    <col min="17" max="17" width="11" style="3" hidden="1" customWidth="1"/>
    <col min="18" max="18" width="15.7109375" style="3" customWidth="1"/>
    <col min="19" max="19" width="12.7109375" style="3" hidden="1" customWidth="1"/>
    <col min="20" max="20" width="2.5703125" style="3" customWidth="1"/>
    <col min="21" max="21" width="53.5703125" style="3" customWidth="1"/>
    <col min="22" max="22" width="2.7109375" style="3" customWidth="1"/>
    <col min="23" max="23" width="10.7109375" style="3" customWidth="1"/>
    <col min="24" max="24" width="13.140625" style="3" hidden="1" customWidth="1"/>
    <col min="25" max="25" width="15.7109375" style="3" customWidth="1"/>
    <col min="26" max="26" width="3.140625" style="3" customWidth="1"/>
    <col min="27" max="27" width="19.7109375" style="3" hidden="1" customWidth="1"/>
    <col min="28" max="28" width="19" style="3" hidden="1" customWidth="1"/>
    <col min="29" max="29" width="29.42578125" style="3" hidden="1" customWidth="1"/>
    <col min="30" max="30" width="24.42578125" style="3" hidden="1" customWidth="1"/>
    <col min="31" max="31" width="15" style="3" hidden="1" customWidth="1"/>
    <col min="32" max="32" width="30.42578125" style="3" hidden="1" customWidth="1"/>
    <col min="33" max="33" width="37.5703125" style="3" hidden="1" customWidth="1"/>
    <col min="34" max="34" width="10.85546875" style="3" hidden="1" customWidth="1"/>
    <col min="35" max="35" width="10.42578125" style="3" hidden="1" customWidth="1"/>
    <col min="36" max="36" width="12.140625" style="3" hidden="1" customWidth="1"/>
    <col min="37" max="38" width="10.7109375" style="3" hidden="1" customWidth="1"/>
    <col min="39" max="39" width="39.42578125" style="3" hidden="1" customWidth="1"/>
    <col min="40" max="40" width="31.140625" style="3" hidden="1" customWidth="1"/>
    <col min="41" max="41" width="8.5703125" style="3" hidden="1" customWidth="1"/>
    <col min="42" max="42" width="20.5703125" style="3" hidden="1" customWidth="1"/>
    <col min="43" max="43" width="23.140625" style="3" hidden="1" customWidth="1"/>
    <col min="44" max="44" width="3" style="3" hidden="1" customWidth="1"/>
    <col min="45" max="45" width="24" style="3" hidden="1" customWidth="1"/>
    <col min="46" max="46" width="60.140625" style="3" hidden="1" customWidth="1"/>
    <col min="47" max="47" width="41.85546875" style="3" hidden="1" customWidth="1"/>
    <col min="48" max="48" width="38.140625" style="3" hidden="1" customWidth="1"/>
    <col min="49" max="49" width="7.5703125" style="3" hidden="1" customWidth="1"/>
    <col min="50" max="50" width="9.85546875" style="3" hidden="1" customWidth="1"/>
    <col min="51" max="51" width="3.140625" style="3" hidden="1" customWidth="1"/>
    <col min="52" max="52" width="9.140625" style="3" hidden="1" customWidth="1"/>
    <col min="53" max="54" width="9.140625" style="210" hidden="1" customWidth="1"/>
    <col min="55" max="55" width="19.42578125" style="210" hidden="1" customWidth="1"/>
    <col min="56" max="56" width="8" style="210" hidden="1" customWidth="1"/>
    <col min="57" max="57" width="11.28515625" style="3" hidden="1" customWidth="1"/>
    <col min="58" max="58" width="2.5703125" style="3" customWidth="1"/>
    <col min="59" max="61" width="11.42578125" style="3" customWidth="1"/>
    <col min="62" max="62" width="11.42578125" style="96" customWidth="1"/>
    <col min="63" max="75" width="11.42578125" style="3" customWidth="1"/>
    <col min="76" max="16384" width="11.42578125" style="3"/>
  </cols>
  <sheetData>
    <row r="1" spans="1:62" ht="20.25" x14ac:dyDescent="0.3">
      <c r="A1" s="117" t="s">
        <v>162</v>
      </c>
      <c r="G1" s="2"/>
      <c r="K1" s="4"/>
      <c r="L1" s="281"/>
      <c r="M1" s="4"/>
      <c r="N1" s="5"/>
      <c r="O1" s="5"/>
      <c r="P1" s="155">
        <f ca="1">+TODAY()</f>
        <v>44117</v>
      </c>
      <c r="Q1" s="2"/>
      <c r="R1" s="6"/>
      <c r="X1" s="7"/>
      <c r="AZ1" s="222" t="s">
        <v>710</v>
      </c>
      <c r="BA1" s="223" t="s">
        <v>711</v>
      </c>
      <c r="BB1" s="223" t="s">
        <v>712</v>
      </c>
      <c r="BC1" s="223" t="s">
        <v>716</v>
      </c>
      <c r="BD1" s="223" t="s">
        <v>713</v>
      </c>
    </row>
    <row r="2" spans="1:62" ht="22.5" customHeight="1" x14ac:dyDescent="0.2">
      <c r="A2" s="118">
        <f>Regija</f>
        <v>1</v>
      </c>
      <c r="B2" s="121" t="str">
        <f ca="1">SO!C1&amp;":"</f>
        <v>Regija:</v>
      </c>
      <c r="C2" s="122">
        <v>1</v>
      </c>
      <c r="E2" s="133" t="s">
        <v>519</v>
      </c>
      <c r="F2" s="109"/>
      <c r="G2" s="82"/>
      <c r="H2" s="82"/>
      <c r="I2" s="82"/>
      <c r="J2" s="98"/>
      <c r="K2" s="98"/>
      <c r="L2" s="282"/>
      <c r="N2" s="5"/>
      <c r="O2" s="334" t="s">
        <v>524</v>
      </c>
      <c r="P2" s="334"/>
      <c r="Q2" s="334"/>
      <c r="R2" s="334"/>
      <c r="S2" s="334"/>
      <c r="T2" s="334"/>
      <c r="U2" s="334"/>
      <c r="V2" s="334"/>
      <c r="W2" s="159"/>
      <c r="X2" s="159"/>
      <c r="AE2" s="158"/>
      <c r="AX2" s="3" t="str">
        <f ca="1">IF(OR(ISERROR(kw)),"-",kw)</f>
        <v>-</v>
      </c>
      <c r="AZ2" s="222">
        <v>151</v>
      </c>
      <c r="BA2" s="223">
        <v>0</v>
      </c>
      <c r="BB2" s="223">
        <v>10</v>
      </c>
      <c r="BC2" s="223" t="b">
        <f ca="1">+AND(tip=AZ2,hektari&gt;=BA2,hektari&lt;=BB2,TRUE)</f>
        <v>0</v>
      </c>
      <c r="BD2" s="223">
        <v>70</v>
      </c>
    </row>
    <row r="3" spans="1:62" ht="29.25" customHeight="1" thickBot="1" x14ac:dyDescent="0.6">
      <c r="A3" s="119">
        <f>1/7.3628</f>
        <v>0.13581789536589342</v>
      </c>
      <c r="B3" s="115"/>
      <c r="C3" s="116"/>
      <c r="E3" s="251">
        <f ca="1">CT_Farm_PN3</f>
        <v>900</v>
      </c>
      <c r="F3" s="82">
        <f ca="1">_TYPE13</f>
        <v>90</v>
      </c>
      <c r="G3" s="82"/>
      <c r="H3" s="327" t="str">
        <f ca="1">VLOOKUP(E3,AJ42:AM103,4,TRUE)</f>
        <v>Neklasificirano poljoprivredno gospodarstvo</v>
      </c>
      <c r="I3" s="327"/>
      <c r="J3" s="327"/>
      <c r="K3" s="327"/>
      <c r="L3" s="327"/>
      <c r="M3" s="327"/>
      <c r="N3" s="108" t="s">
        <v>520</v>
      </c>
      <c r="O3" s="78"/>
      <c r="P3" s="332"/>
      <c r="Q3" s="332"/>
      <c r="R3" s="332"/>
      <c r="S3" s="332"/>
      <c r="T3" s="332"/>
      <c r="U3" s="332"/>
      <c r="V3" s="160"/>
      <c r="W3" s="326"/>
      <c r="X3" s="326"/>
      <c r="Y3" s="326"/>
      <c r="Z3" s="244"/>
      <c r="AA3" s="241"/>
      <c r="AB3" s="243" t="s">
        <v>770</v>
      </c>
      <c r="AX3" s="3" t="e">
        <f t="array" aca="1" ref="AX3" ca="1">INDEX(BD2:BD298,MATCH(tip&amp;AX4,AZ2:AZ298&amp;BC2:BC298,0))</f>
        <v>#N/A</v>
      </c>
      <c r="AZ3" s="222">
        <v>151</v>
      </c>
      <c r="BA3" s="223">
        <v>10.01</v>
      </c>
      <c r="BB3" s="223">
        <v>50</v>
      </c>
      <c r="BC3" s="223" t="b">
        <f ca="1">+AND(tip=AZ3,hektari&gt;=BA3,hektari&lt;=BB3,TRUE)</f>
        <v>0</v>
      </c>
      <c r="BD3" s="223">
        <v>110</v>
      </c>
    </row>
    <row r="4" spans="1:62" ht="22.5" customHeight="1" x14ac:dyDescent="0.55000000000000004">
      <c r="B4" s="328" t="str">
        <f ca="1">SO!C2</f>
        <v>Kontinentalna Hrvatska</v>
      </c>
      <c r="C4" s="329"/>
      <c r="E4" s="134" t="s">
        <v>639</v>
      </c>
      <c r="F4" s="110"/>
      <c r="G4" s="111"/>
      <c r="H4" s="110"/>
      <c r="I4" s="110"/>
      <c r="J4" s="107"/>
      <c r="K4" s="99">
        <f ca="1">TSO*A3</f>
        <v>0</v>
      </c>
      <c r="L4" s="283"/>
      <c r="M4" s="107"/>
      <c r="N4" s="108" t="s">
        <v>521</v>
      </c>
      <c r="O4" s="8"/>
      <c r="P4" s="332"/>
      <c r="Q4" s="332"/>
      <c r="R4" s="332"/>
      <c r="S4" s="332"/>
      <c r="T4" s="332"/>
      <c r="U4" s="332"/>
      <c r="V4" s="160"/>
      <c r="W4" s="326"/>
      <c r="X4" s="326"/>
      <c r="Y4" s="326"/>
      <c r="Z4" s="244"/>
      <c r="AA4" s="242"/>
      <c r="AX4" s="3" t="b">
        <v>1</v>
      </c>
      <c r="AZ4" s="222">
        <v>151</v>
      </c>
      <c r="BA4" s="223">
        <v>50.01</v>
      </c>
      <c r="BB4" s="223">
        <v>100</v>
      </c>
      <c r="BC4" s="223" t="b">
        <f ca="1">+AND(tip=AZ4,hektari&gt;=BA4,hektari&lt;=BB4,TRUE)</f>
        <v>0</v>
      </c>
      <c r="BD4" s="223">
        <v>150</v>
      </c>
    </row>
    <row r="5" spans="1:62" ht="22.5" customHeight="1" thickBot="1" x14ac:dyDescent="0.6">
      <c r="B5" s="330"/>
      <c r="C5" s="331"/>
      <c r="E5" s="251" t="str">
        <f ca="1">IF(OR(ISERROR(_ES14_NAME)),"-",_ES14_NAME)</f>
        <v>-</v>
      </c>
      <c r="F5" s="110"/>
      <c r="G5" s="111"/>
      <c r="H5" s="178" t="str">
        <f ca="1">IF(OR(ISERROR(_ES14_NAME)),"-",VLOOKUP(E5,AC90:AF103,4,FALSE))</f>
        <v>-</v>
      </c>
      <c r="I5" s="110"/>
      <c r="J5" s="110"/>
      <c r="K5" s="99">
        <f ca="1">TSO</f>
        <v>0</v>
      </c>
      <c r="L5" s="284"/>
      <c r="M5" s="110"/>
      <c r="N5" s="108" t="s">
        <v>522</v>
      </c>
      <c r="O5" s="8"/>
      <c r="P5" s="332"/>
      <c r="Q5" s="332"/>
      <c r="R5" s="332"/>
      <c r="S5" s="332"/>
      <c r="T5" s="332"/>
      <c r="U5" s="332"/>
      <c r="V5" s="160"/>
      <c r="W5" s="326"/>
      <c r="X5" s="326"/>
      <c r="Y5" s="326"/>
      <c r="Z5" s="244"/>
      <c r="AA5" s="241"/>
      <c r="AM5" s="164" t="s">
        <v>732</v>
      </c>
      <c r="AZ5" s="222">
        <v>151</v>
      </c>
      <c r="BA5" s="223">
        <v>100.01</v>
      </c>
      <c r="BB5" s="223">
        <v>300</v>
      </c>
      <c r="BC5" s="223" t="b">
        <f ca="1">+AND(tip=AZ5,hektari&gt;=BA5,hektari&lt;=BB5,TRUE)</f>
        <v>0</v>
      </c>
      <c r="BD5" s="223">
        <v>200</v>
      </c>
    </row>
    <row r="6" spans="1:62" ht="22.5" customHeight="1" x14ac:dyDescent="0.55000000000000004">
      <c r="E6" s="134" t="s">
        <v>715</v>
      </c>
      <c r="F6" s="112"/>
      <c r="G6" s="113"/>
      <c r="H6" s="260"/>
      <c r="I6" s="260"/>
      <c r="J6" s="260"/>
      <c r="K6" s="82" t="e">
        <f ca="1">IF(C2=1,(E3*2+E5*9)*1+1,IF(C2=2,(E3*3+E5*7)*2+2,IF(C2=3,(E3*4+E5*5)*3+3,"-")))</f>
        <v>#VALUE!</v>
      </c>
      <c r="L6" s="285"/>
      <c r="M6" s="82"/>
      <c r="N6" s="108" t="s">
        <v>561</v>
      </c>
      <c r="O6" s="8"/>
      <c r="P6" s="332"/>
      <c r="Q6" s="332"/>
      <c r="R6" s="332"/>
      <c r="S6" s="332"/>
      <c r="T6" s="332"/>
      <c r="U6" s="332"/>
      <c r="V6" s="160"/>
      <c r="W6" s="326"/>
      <c r="X6" s="326"/>
      <c r="Y6" s="326"/>
      <c r="Z6" s="244"/>
      <c r="AA6" s="241"/>
      <c r="AZ6" s="222">
        <v>151</v>
      </c>
      <c r="BA6" s="223">
        <v>300.01</v>
      </c>
      <c r="BB6" s="223">
        <v>500</v>
      </c>
      <c r="BC6" s="223" t="b">
        <f ca="1">+AND(tip=AZ6,hektari&gt;=BA6,hektari&lt;=BB6,TRUE)</f>
        <v>0</v>
      </c>
      <c r="BD6" s="223">
        <v>250</v>
      </c>
    </row>
    <row r="7" spans="1:62" ht="22.5" customHeight="1" x14ac:dyDescent="0.2">
      <c r="E7" s="251" t="str">
        <f ca="1">IF(OR(ISERROR(kw)),"-",kw)</f>
        <v>-</v>
      </c>
      <c r="F7" s="114"/>
      <c r="G7" s="114"/>
      <c r="H7" s="327" t="s">
        <v>717</v>
      </c>
      <c r="I7" s="327"/>
      <c r="J7" s="327"/>
      <c r="K7" s="100" t="str">
        <f ca="1">IF(ISERROR(K6),"-",K6)</f>
        <v>-</v>
      </c>
      <c r="L7" s="285"/>
      <c r="M7" s="82"/>
      <c r="N7" s="108" t="s">
        <v>523</v>
      </c>
      <c r="O7" s="8"/>
      <c r="P7" s="332"/>
      <c r="Q7" s="332"/>
      <c r="R7" s="332"/>
      <c r="S7" s="332"/>
      <c r="T7" s="332"/>
      <c r="U7" s="332"/>
      <c r="V7" s="160"/>
      <c r="W7" s="326"/>
      <c r="X7" s="326"/>
      <c r="Y7" s="326"/>
      <c r="Z7" s="244"/>
      <c r="AZ7" s="222">
        <v>151</v>
      </c>
      <c r="BA7" s="223">
        <v>500.01</v>
      </c>
      <c r="BB7" s="223"/>
      <c r="BC7" s="223" t="b">
        <f ca="1">+AND(tip=AZ7,hektari&gt;=BA7,TRUE)</f>
        <v>0</v>
      </c>
      <c r="BD7" s="223">
        <v>300</v>
      </c>
    </row>
    <row r="8" spans="1:62" s="24" customFormat="1" ht="18.75" customHeight="1" thickBot="1" x14ac:dyDescent="0.25">
      <c r="A8" s="120"/>
      <c r="B8" s="252"/>
      <c r="C8" s="252"/>
      <c r="D8" s="7"/>
      <c r="E8" s="7"/>
      <c r="F8" s="7"/>
      <c r="G8" s="7"/>
      <c r="H8" s="7"/>
      <c r="I8" s="252"/>
      <c r="J8" s="100"/>
      <c r="K8" s="100"/>
      <c r="L8" s="286"/>
      <c r="M8" s="100"/>
      <c r="N8" s="253"/>
      <c r="O8" s="252"/>
      <c r="P8" s="254"/>
      <c r="Q8" s="254"/>
      <c r="R8" s="254"/>
      <c r="S8" s="255"/>
      <c r="T8" s="255"/>
      <c r="U8" s="255"/>
      <c r="V8" s="255"/>
      <c r="W8" s="255"/>
      <c r="X8" s="252"/>
      <c r="Y8" s="256"/>
      <c r="Z8" s="256"/>
      <c r="AZ8" s="224">
        <v>153</v>
      </c>
      <c r="BA8" s="225">
        <v>0</v>
      </c>
      <c r="BB8" s="225">
        <v>10</v>
      </c>
      <c r="BC8" s="223" t="b">
        <f ca="1">+AND(tip=AZ8,hektari&gt;=BA8,hektari&lt;=BB8,TRUE)</f>
        <v>0</v>
      </c>
      <c r="BD8" s="225">
        <v>70</v>
      </c>
      <c r="BJ8" s="226"/>
    </row>
    <row r="9" spans="1:62" ht="28.5" customHeight="1" thickTop="1" x14ac:dyDescent="0.25">
      <c r="B9" s="257" t="s">
        <v>499</v>
      </c>
      <c r="C9" s="258"/>
      <c r="D9" s="258"/>
      <c r="E9" s="258"/>
      <c r="F9" s="258"/>
      <c r="G9" s="258"/>
      <c r="H9" s="258"/>
      <c r="I9" s="258"/>
      <c r="J9" s="258"/>
      <c r="K9" s="258"/>
      <c r="L9" s="287"/>
      <c r="M9" s="259"/>
      <c r="N9" s="258"/>
      <c r="O9" s="258"/>
      <c r="P9" s="258"/>
      <c r="Q9" s="258"/>
      <c r="R9" s="258"/>
      <c r="S9" s="259"/>
      <c r="T9" s="259"/>
      <c r="U9" s="258"/>
      <c r="V9" s="258"/>
      <c r="W9" s="258"/>
      <c r="X9" s="258"/>
      <c r="Y9" s="258"/>
      <c r="Z9" s="7"/>
      <c r="AI9" s="229" t="s">
        <v>729</v>
      </c>
      <c r="AZ9" s="222">
        <v>153</v>
      </c>
      <c r="BA9" s="223">
        <v>10.01</v>
      </c>
      <c r="BB9" s="223">
        <v>50</v>
      </c>
      <c r="BC9" s="223" t="b">
        <f ca="1">+AND(tip=AZ9,hektari&gt;=BA9,hektari&lt;=BB9,TRUE)</f>
        <v>0</v>
      </c>
      <c r="BD9" s="223">
        <v>110</v>
      </c>
    </row>
    <row r="10" spans="1:62" ht="1.5" customHeight="1" thickBot="1" x14ac:dyDescent="0.3">
      <c r="B10" s="127"/>
      <c r="C10" s="2"/>
      <c r="D10" s="2"/>
      <c r="E10" s="2"/>
      <c r="F10" s="2"/>
      <c r="G10" s="2"/>
      <c r="H10" s="174"/>
      <c r="I10" s="175"/>
      <c r="J10" s="175"/>
      <c r="K10" s="176"/>
      <c r="L10" s="288"/>
      <c r="M10" s="176"/>
      <c r="N10" s="175"/>
      <c r="O10" s="175"/>
      <c r="P10" s="174"/>
      <c r="Q10" s="175"/>
      <c r="R10" s="175"/>
      <c r="S10" s="176"/>
      <c r="T10" s="176"/>
      <c r="U10" s="177"/>
      <c r="V10" s="176"/>
      <c r="W10" s="174"/>
      <c r="X10" s="175"/>
      <c r="Y10" s="175"/>
      <c r="Z10" s="175"/>
      <c r="AI10" s="230"/>
      <c r="AZ10" s="222">
        <v>153</v>
      </c>
      <c r="BA10" s="223">
        <v>50.01</v>
      </c>
      <c r="BB10" s="223">
        <v>100</v>
      </c>
      <c r="BC10" s="223" t="b">
        <f ca="1">+AND(tip=AZ10,hektari&gt;=BA10,hektari&lt;=BB10,TRUE)</f>
        <v>0</v>
      </c>
      <c r="BD10" s="223">
        <v>150</v>
      </c>
    </row>
    <row r="11" spans="1:62" ht="12.75" customHeight="1" thickTop="1" x14ac:dyDescent="0.2">
      <c r="L11" s="289"/>
      <c r="M11" s="9"/>
      <c r="T11" s="10"/>
      <c r="AG11" s="168"/>
      <c r="AH11" s="219" t="s">
        <v>698</v>
      </c>
      <c r="AI11" s="231" t="s">
        <v>699</v>
      </c>
      <c r="AJ11" s="276" t="s">
        <v>730</v>
      </c>
      <c r="AK11" s="278" t="s">
        <v>774</v>
      </c>
      <c r="AZ11" s="222">
        <v>153</v>
      </c>
      <c r="BA11" s="223">
        <v>100.01</v>
      </c>
      <c r="BB11" s="223">
        <v>300</v>
      </c>
      <c r="BC11" s="223" t="b">
        <f ca="1">+AND(tip=AZ11,hektari&gt;=BA11,hektari&lt;=BB11,TRUE)</f>
        <v>0</v>
      </c>
      <c r="BD11" s="223">
        <v>200</v>
      </c>
    </row>
    <row r="12" spans="1:62" ht="12.75" customHeight="1" x14ac:dyDescent="0.2">
      <c r="B12" s="180" t="s">
        <v>500</v>
      </c>
      <c r="L12" s="289"/>
      <c r="M12" s="180" t="s">
        <v>502</v>
      </c>
      <c r="T12" s="10"/>
      <c r="U12" s="180" t="s">
        <v>506</v>
      </c>
      <c r="AG12" s="168" t="s">
        <v>540</v>
      </c>
      <c r="AH12" s="220">
        <v>0.8</v>
      </c>
      <c r="AI12" s="232">
        <v>1</v>
      </c>
      <c r="AJ12" s="220">
        <v>1</v>
      </c>
      <c r="AK12" s="279">
        <v>1</v>
      </c>
      <c r="AZ12" s="222">
        <v>153</v>
      </c>
      <c r="BA12" s="223">
        <v>300.01</v>
      </c>
      <c r="BB12" s="223">
        <v>500</v>
      </c>
      <c r="BC12" s="223" t="b">
        <f ca="1">+AND(tip=AZ12,hektari&gt;=BA12,hektari&lt;=BB12,TRUE)</f>
        <v>0</v>
      </c>
      <c r="BD12" s="223">
        <v>250</v>
      </c>
    </row>
    <row r="13" spans="1:62" ht="12.75" customHeight="1" x14ac:dyDescent="0.2">
      <c r="H13" s="96" t="s">
        <v>40</v>
      </c>
      <c r="I13" s="96" t="s">
        <v>1</v>
      </c>
      <c r="J13" s="96" t="s">
        <v>230</v>
      </c>
      <c r="L13" s="289"/>
      <c r="M13" s="9"/>
      <c r="P13" s="96" t="s">
        <v>40</v>
      </c>
      <c r="Q13" s="96" t="s">
        <v>1</v>
      </c>
      <c r="R13" s="96" t="s">
        <v>230</v>
      </c>
      <c r="T13" s="10"/>
      <c r="W13" s="96" t="s">
        <v>40</v>
      </c>
      <c r="X13" s="96" t="s">
        <v>1</v>
      </c>
      <c r="Y13" s="96" t="s">
        <v>230</v>
      </c>
      <c r="Z13" s="96"/>
      <c r="AB13" s="12" t="s">
        <v>252</v>
      </c>
      <c r="AC13" s="206">
        <f ca="1">_P15+_2.01.02+_2.01.03+_2.01.04+_2.01.06.01+_P16+_2.01.06.12+_2.01.06.99+_2.01.07.01.01+_2.01.10+_FCP1</f>
        <v>0</v>
      </c>
      <c r="AD13" s="13" t="s">
        <v>269</v>
      </c>
      <c r="AE13" s="14" t="s">
        <v>96</v>
      </c>
      <c r="AF13" s="25" t="s">
        <v>424</v>
      </c>
      <c r="AG13" s="168" t="s">
        <v>539</v>
      </c>
      <c r="AH13" s="220">
        <v>0.4</v>
      </c>
      <c r="AI13" s="232">
        <v>0.4</v>
      </c>
      <c r="AJ13" s="220">
        <v>0.4</v>
      </c>
      <c r="AK13" s="279">
        <v>0.4</v>
      </c>
      <c r="AZ13" s="222">
        <v>153</v>
      </c>
      <c r="BA13" s="223">
        <v>500.01</v>
      </c>
      <c r="BB13" s="223"/>
      <c r="BC13" s="223" t="b">
        <f ca="1">+AND(tip=AZ13,hektari&gt;=BA13,TRUE)</f>
        <v>0</v>
      </c>
      <c r="BD13" s="223">
        <v>300</v>
      </c>
    </row>
    <row r="14" spans="1:62" ht="12.75" customHeight="1" x14ac:dyDescent="0.2">
      <c r="B14" s="101" t="str">
        <f>SO!B5</f>
        <v>Pšenica</v>
      </c>
      <c r="C14" s="95"/>
      <c r="D14" s="95"/>
      <c r="E14" s="95"/>
      <c r="F14" s="95"/>
      <c r="G14" s="17"/>
      <c r="H14" s="124"/>
      <c r="I14" s="81">
        <f ca="1">SO!C5</f>
        <v>6335.8475070000004</v>
      </c>
      <c r="J14" s="211">
        <f t="shared" ref="J14:J19" ca="1" si="0">H14*I14</f>
        <v>0</v>
      </c>
      <c r="K14" s="9"/>
      <c r="L14" s="289"/>
      <c r="M14" s="102" t="str">
        <f>SO!B20</f>
        <v>Stočni grašak, grah i ostale mahunarke</v>
      </c>
      <c r="N14" s="94"/>
      <c r="O14" s="80"/>
      <c r="P14" s="124"/>
      <c r="Q14" s="81">
        <f ca="1">SO!C20</f>
        <v>12362.03069</v>
      </c>
      <c r="R14" s="211">
        <f t="shared" ref="R14:R19" ca="1" si="1">P14*Q14</f>
        <v>0</v>
      </c>
      <c r="S14" s="105">
        <f ca="1">_2.01.02.01</f>
        <v>0</v>
      </c>
      <c r="T14" s="10"/>
      <c r="U14" s="102" t="str">
        <f>SO!B35</f>
        <v>Jezgričasto voće (jabuka, kruška, dunja...)*</v>
      </c>
      <c r="V14" s="80"/>
      <c r="W14" s="124"/>
      <c r="X14" s="81">
        <f ca="1">SO!C35</f>
        <v>13493.571250000001</v>
      </c>
      <c r="Y14" s="211">
        <f ca="1">W14*X14</f>
        <v>0</v>
      </c>
      <c r="Z14" s="261"/>
      <c r="AA14" s="103">
        <f ca="1">_2.04.01.01.01</f>
        <v>0</v>
      </c>
      <c r="AB14" s="12" t="s">
        <v>253</v>
      </c>
      <c r="AC14" s="206">
        <f ca="1">_2.01.07.01.02 + _2.01.07.02 + _2.01.08.01 + _2.01.08.02 + _2.04.05+_2.06.01</f>
        <v>0</v>
      </c>
      <c r="AD14" s="13" t="s">
        <v>97</v>
      </c>
      <c r="AE14" s="163" t="s">
        <v>695</v>
      </c>
      <c r="AF14" s="3" t="s">
        <v>424</v>
      </c>
      <c r="AG14" s="168" t="s">
        <v>541</v>
      </c>
      <c r="AH14" s="220">
        <v>0.7</v>
      </c>
      <c r="AI14" s="232">
        <v>0.6</v>
      </c>
      <c r="AJ14" s="220">
        <v>0.6</v>
      </c>
      <c r="AK14" s="279">
        <v>0.6</v>
      </c>
      <c r="AZ14" s="222">
        <v>161</v>
      </c>
      <c r="BA14" s="223">
        <v>0</v>
      </c>
      <c r="BB14" s="223">
        <v>10</v>
      </c>
      <c r="BC14" s="223" t="b">
        <f ca="1">+AND(tip=AZ14,hektari&gt;=BA14,hektari&lt;=BB14,TRUE)</f>
        <v>0</v>
      </c>
      <c r="BD14" s="223">
        <v>70</v>
      </c>
    </row>
    <row r="15" spans="1:62" ht="12.75" customHeight="1" x14ac:dyDescent="0.2">
      <c r="B15" s="101" t="str">
        <f>SO!B6</f>
        <v>Kukuruz u zrnu</v>
      </c>
      <c r="C15" s="95"/>
      <c r="D15" s="95"/>
      <c r="E15" s="95"/>
      <c r="F15" s="95"/>
      <c r="G15" s="17"/>
      <c r="H15" s="124"/>
      <c r="I15" s="81">
        <f ca="1">SO!C6</f>
        <v>6914.117045</v>
      </c>
      <c r="J15" s="211">
        <f t="shared" ca="1" si="0"/>
        <v>0</v>
      </c>
      <c r="K15" s="9"/>
      <c r="L15" s="289"/>
      <c r="M15" s="102" t="str">
        <f>SO!B21</f>
        <v>Lucerna i djetelina</v>
      </c>
      <c r="O15" s="80"/>
      <c r="P15" s="124"/>
      <c r="Q15" s="81">
        <f ca="1">SO!C21</f>
        <v>4942.2004040000002</v>
      </c>
      <c r="R15" s="211">
        <f t="shared" ca="1" si="1"/>
        <v>0</v>
      </c>
      <c r="S15" s="9"/>
      <c r="T15" s="10"/>
      <c r="U15" s="102" t="str">
        <f>SO!B41</f>
        <v>Koštičavo voće (šljiva, trešnja, višnja, breskva, marelica...)*</v>
      </c>
      <c r="V15" s="80"/>
      <c r="W15" s="124"/>
      <c r="X15" s="81">
        <f ca="1">SO!C41</f>
        <v>13493.571250000001</v>
      </c>
      <c r="Y15" s="211">
        <f ca="1">W15*X15</f>
        <v>0</v>
      </c>
      <c r="Z15" s="261"/>
      <c r="AA15" s="104">
        <f ca="1">_2.04.01.01.01_A+_2.04.01.01.01_B</f>
        <v>0</v>
      </c>
      <c r="AB15" s="161"/>
      <c r="AC15" s="206"/>
      <c r="AD15" s="125"/>
      <c r="AE15" s="125"/>
      <c r="AG15" s="168" t="s">
        <v>542</v>
      </c>
      <c r="AH15" s="220">
        <v>0.7</v>
      </c>
      <c r="AI15" s="232">
        <v>0.6</v>
      </c>
      <c r="AJ15" s="220">
        <v>0.6</v>
      </c>
      <c r="AK15" s="279">
        <v>0.6</v>
      </c>
      <c r="AZ15" s="222">
        <v>161</v>
      </c>
      <c r="BA15" s="223">
        <v>10.01</v>
      </c>
      <c r="BB15" s="223">
        <v>50</v>
      </c>
      <c r="BC15" s="223" t="b">
        <f ca="1">+AND(tip=AZ15,hektari&gt;=BA15,hektari&lt;=BB15,TRUE)</f>
        <v>0</v>
      </c>
      <c r="BD15" s="223">
        <v>110</v>
      </c>
    </row>
    <row r="16" spans="1:62" ht="12.75" customHeight="1" x14ac:dyDescent="0.2">
      <c r="B16" s="101" t="str">
        <f>SO!B7</f>
        <v>Ječam</v>
      </c>
      <c r="C16" s="95"/>
      <c r="D16" s="95"/>
      <c r="E16" s="95"/>
      <c r="F16" s="95"/>
      <c r="G16" s="17"/>
      <c r="H16" s="124"/>
      <c r="I16" s="81">
        <f ca="1">SO!C7</f>
        <v>5316.3696360000004</v>
      </c>
      <c r="J16" s="211">
        <f t="shared" ca="1" si="0"/>
        <v>0</v>
      </c>
      <c r="L16" s="289"/>
      <c r="M16" s="102" t="str">
        <f>SO!B22</f>
        <v>Kukuruz za silažu</v>
      </c>
      <c r="N16" s="94"/>
      <c r="O16" s="80"/>
      <c r="P16" s="124"/>
      <c r="Q16" s="81">
        <f ca="1">SO!C22</f>
        <v>8409.8507559999998</v>
      </c>
      <c r="R16" s="211">
        <f t="shared" ca="1" si="1"/>
        <v>0</v>
      </c>
      <c r="S16" s="9"/>
      <c r="T16" s="10"/>
      <c r="U16" s="102" t="str">
        <f>SO!B46</f>
        <v>Bobičasto voće (malina, kupina, ribizl, borovnica...)*</v>
      </c>
      <c r="V16" s="80"/>
      <c r="W16" s="124"/>
      <c r="X16" s="81">
        <f ca="1">SO!C46</f>
        <v>18725.04679</v>
      </c>
      <c r="Y16" s="211">
        <f ca="1">W16*X16</f>
        <v>0</v>
      </c>
      <c r="Z16" s="261"/>
      <c r="AA16" s="105">
        <f ca="1">_2.04.01.01+_2.04.01.02+_2.04.01.03</f>
        <v>0</v>
      </c>
      <c r="AB16" s="12" t="s">
        <v>254</v>
      </c>
      <c r="AC16" s="206">
        <f ca="1">_2.04.01 + _2.04.02 + _2.04.03 + _2.04.04 + _2.04.06.01</f>
        <v>0</v>
      </c>
      <c r="AD16" s="13" t="s">
        <v>270</v>
      </c>
      <c r="AE16" s="14" t="s">
        <v>98</v>
      </c>
      <c r="AF16" s="3" t="s">
        <v>424</v>
      </c>
      <c r="AG16" s="168" t="s">
        <v>543</v>
      </c>
      <c r="AH16" s="220">
        <v>1</v>
      </c>
      <c r="AI16" s="232">
        <v>1</v>
      </c>
      <c r="AJ16" s="220">
        <v>1</v>
      </c>
      <c r="AK16" s="279">
        <v>1</v>
      </c>
      <c r="AZ16" s="222">
        <v>161</v>
      </c>
      <c r="BA16" s="223">
        <v>50.01</v>
      </c>
      <c r="BB16" s="223">
        <v>100</v>
      </c>
      <c r="BC16" s="223" t="b">
        <f ca="1">+AND(tip=AZ16,hektari&gt;=BA16,hektari&lt;=BB16,TRUE)</f>
        <v>0</v>
      </c>
      <c r="BD16" s="223">
        <v>150</v>
      </c>
    </row>
    <row r="17" spans="2:56" ht="12.75" customHeight="1" x14ac:dyDescent="0.2">
      <c r="B17" s="101" t="str">
        <f>SO!B8</f>
        <v>Zob</v>
      </c>
      <c r="C17" s="95"/>
      <c r="D17" s="95"/>
      <c r="E17" s="95"/>
      <c r="F17" s="95"/>
      <c r="G17" s="17"/>
      <c r="H17" s="124"/>
      <c r="I17" s="81">
        <f ca="1">SO!C8</f>
        <v>3488.229092</v>
      </c>
      <c r="J17" s="211">
        <f t="shared" ca="1" si="0"/>
        <v>0</v>
      </c>
      <c r="K17" s="9"/>
      <c r="L17" s="289"/>
      <c r="M17" s="102" t="str">
        <f>SO!B23</f>
        <v>Trave i djetelinsko-travne smjese</v>
      </c>
      <c r="N17" s="94"/>
      <c r="O17" s="80"/>
      <c r="P17" s="124"/>
      <c r="Q17" s="81">
        <f ca="1">SO!C23</f>
        <v>3100</v>
      </c>
      <c r="R17" s="211">
        <f t="shared" ca="1" si="1"/>
        <v>0</v>
      </c>
      <c r="S17" s="105">
        <f ca="1">_2.01.09.02.02+_2.01.09.02.01+_2.01.09.02.99</f>
        <v>0</v>
      </c>
      <c r="T17" s="10"/>
      <c r="U17" s="102" t="str">
        <f>SO!B47</f>
        <v>Lupinasto voće (orah, lješnjak, kesten, badem...)*</v>
      </c>
      <c r="V17" s="80"/>
      <c r="W17" s="124"/>
      <c r="X17" s="81">
        <f ca="1">SO!C47</f>
        <v>5906.8412779999999</v>
      </c>
      <c r="Y17" s="211">
        <f ca="1">W17*X17</f>
        <v>0</v>
      </c>
      <c r="Z17" s="261"/>
      <c r="AB17" s="12" t="s">
        <v>255</v>
      </c>
      <c r="AC17" s="206">
        <f ca="1">_GL+_FCP4</f>
        <v>0</v>
      </c>
      <c r="AD17" s="13" t="s">
        <v>280</v>
      </c>
      <c r="AE17" s="14" t="s">
        <v>281</v>
      </c>
      <c r="AF17" s="3" t="s">
        <v>424</v>
      </c>
      <c r="AG17" s="168" t="s">
        <v>544</v>
      </c>
      <c r="AH17" s="220">
        <v>0.8</v>
      </c>
      <c r="AI17" s="232">
        <v>1</v>
      </c>
      <c r="AJ17" s="220">
        <v>1</v>
      </c>
      <c r="AK17" s="279">
        <v>1</v>
      </c>
      <c r="AZ17" s="222">
        <v>161</v>
      </c>
      <c r="BA17" s="223">
        <v>100.01</v>
      </c>
      <c r="BB17" s="223">
        <v>300</v>
      </c>
      <c r="BC17" s="223" t="b">
        <f ca="1">+AND(tip=AZ17,hektari&gt;=BA17,hektari&lt;=BB17,TRUE)</f>
        <v>0</v>
      </c>
      <c r="BD17" s="223">
        <v>200</v>
      </c>
    </row>
    <row r="18" spans="2:56" ht="12.75" customHeight="1" x14ac:dyDescent="0.2">
      <c r="B18" s="101" t="str">
        <f>SO!B9</f>
        <v>Raž</v>
      </c>
      <c r="C18" s="95"/>
      <c r="D18" s="95"/>
      <c r="E18" s="95"/>
      <c r="F18" s="95"/>
      <c r="G18" s="17"/>
      <c r="H18" s="124"/>
      <c r="I18" s="81">
        <f ca="1">SO!C9</f>
        <v>3715.3125009999999</v>
      </c>
      <c r="J18" s="211">
        <f t="shared" ca="1" si="0"/>
        <v>0</v>
      </c>
      <c r="K18" s="9"/>
      <c r="L18" s="289"/>
      <c r="M18" s="102" t="str">
        <f>SO!B24</f>
        <v>Livade i trajni pašnjaci</v>
      </c>
      <c r="N18" s="94"/>
      <c r="O18" s="80"/>
      <c r="P18" s="124"/>
      <c r="Q18" s="81">
        <f ca="1">SO!C24</f>
        <v>2355.7544590000002</v>
      </c>
      <c r="R18" s="211">
        <f t="shared" ca="1" si="1"/>
        <v>0</v>
      </c>
      <c r="S18" s="105">
        <f ca="1">_2.01.09.02</f>
        <v>0</v>
      </c>
      <c r="T18" s="9"/>
      <c r="U18" s="102" t="str">
        <f>SO!B48</f>
        <v>Agrumi (mandarina, limun, naranča...)*</v>
      </c>
      <c r="V18" s="80"/>
      <c r="W18" s="124"/>
      <c r="X18" s="81">
        <f ca="1">SO!C48</f>
        <v>0</v>
      </c>
      <c r="Y18" s="211">
        <f ca="1">W18*X18</f>
        <v>0</v>
      </c>
      <c r="Z18" s="261"/>
      <c r="AB18" s="12" t="s">
        <v>256</v>
      </c>
      <c r="AC18" s="206">
        <f ca="1">_P51+_P52+_3.06+_3.08</f>
        <v>0</v>
      </c>
      <c r="AD18" s="13" t="s">
        <v>99</v>
      </c>
      <c r="AE18" s="14" t="s">
        <v>99</v>
      </c>
      <c r="AF18" s="3" t="s">
        <v>424</v>
      </c>
      <c r="AG18" s="168" t="s">
        <v>165</v>
      </c>
      <c r="AH18" s="220">
        <v>1</v>
      </c>
      <c r="AI18" s="232">
        <v>1</v>
      </c>
      <c r="AJ18" s="220">
        <v>1</v>
      </c>
      <c r="AK18" s="279">
        <v>1</v>
      </c>
      <c r="AZ18" s="222">
        <v>161</v>
      </c>
      <c r="BA18" s="223">
        <v>300.01</v>
      </c>
      <c r="BB18" s="223">
        <v>500</v>
      </c>
      <c r="BC18" s="223" t="b">
        <f ca="1">+AND(tip=AZ18,hektari&gt;=BA18,hektari&lt;=BB18,TRUE)</f>
        <v>0</v>
      </c>
      <c r="BD18" s="223">
        <v>250</v>
      </c>
    </row>
    <row r="19" spans="2:56" ht="12.75" customHeight="1" x14ac:dyDescent="0.2">
      <c r="B19" s="101" t="str">
        <f>SO!B10</f>
        <v>Ostale žitarice (pravi pir, tritikale, proso, sirak, heljda...)*</v>
      </c>
      <c r="C19" s="95"/>
      <c r="D19" s="95"/>
      <c r="E19" s="95"/>
      <c r="F19" s="95"/>
      <c r="G19" s="17"/>
      <c r="H19" s="124"/>
      <c r="I19" s="81">
        <f ca="1">SO!C10</f>
        <v>4041.5578820000001</v>
      </c>
      <c r="J19" s="211">
        <f t="shared" ca="1" si="0"/>
        <v>0</v>
      </c>
      <c r="K19" s="9"/>
      <c r="L19" s="289"/>
      <c r="M19" s="102" t="str">
        <f>SO!B25</f>
        <v>Krmno korijenje i kupusnjače</v>
      </c>
      <c r="N19" s="94"/>
      <c r="O19" s="80"/>
      <c r="P19" s="124"/>
      <c r="Q19" s="81">
        <f ca="1">SO!C25</f>
        <v>4920.1183819999997</v>
      </c>
      <c r="R19" s="211">
        <f t="shared" ca="1" si="1"/>
        <v>0</v>
      </c>
      <c r="S19" s="9"/>
      <c r="T19" s="9"/>
      <c r="AB19" s="12" t="s">
        <v>250</v>
      </c>
      <c r="AC19" s="206">
        <f ca="1">_P151</f>
        <v>0</v>
      </c>
      <c r="AD19" s="13" t="s">
        <v>0</v>
      </c>
      <c r="AE19" s="14" t="s">
        <v>100</v>
      </c>
      <c r="AF19" s="3" t="s">
        <v>424</v>
      </c>
      <c r="AG19" s="168" t="s">
        <v>545</v>
      </c>
      <c r="AH19" s="220">
        <v>0.8</v>
      </c>
      <c r="AI19" s="232">
        <v>1</v>
      </c>
      <c r="AJ19" s="220">
        <v>1</v>
      </c>
      <c r="AK19" s="279">
        <v>1</v>
      </c>
      <c r="AZ19" s="222">
        <v>161</v>
      </c>
      <c r="BA19" s="223">
        <v>500.01</v>
      </c>
      <c r="BB19" s="223"/>
      <c r="BC19" s="223" t="b">
        <f ca="1">+AND(tip=AZ19,hektari&gt;=BA19,TRUE)</f>
        <v>0</v>
      </c>
      <c r="BD19" s="223">
        <v>300</v>
      </c>
    </row>
    <row r="20" spans="2:56" ht="12.75" customHeight="1" x14ac:dyDescent="0.2">
      <c r="L20" s="289"/>
      <c r="M20" s="9"/>
      <c r="S20" s="9"/>
      <c r="T20" s="9"/>
      <c r="U20" s="180" t="s">
        <v>507</v>
      </c>
      <c r="AB20" s="12" t="s">
        <v>249</v>
      </c>
      <c r="AC20" s="206">
        <f ca="1">_2.01.01.01+_2.01.01.03+_2.01.01.04+_2.01.01.05+_2.01.01.06+_2.01.01.99</f>
        <v>0</v>
      </c>
      <c r="AD20" s="13" t="s">
        <v>266</v>
      </c>
      <c r="AE20" s="14" t="s">
        <v>105</v>
      </c>
      <c r="AF20" s="3" t="s">
        <v>424</v>
      </c>
      <c r="AG20" s="168" t="s">
        <v>166</v>
      </c>
      <c r="AH20" s="220">
        <v>0.15</v>
      </c>
      <c r="AI20" s="232">
        <v>0.15</v>
      </c>
      <c r="AJ20" s="220">
        <v>0.15</v>
      </c>
      <c r="AK20" s="279">
        <v>0.15</v>
      </c>
      <c r="AZ20" s="222">
        <v>162</v>
      </c>
      <c r="BA20" s="223">
        <v>0</v>
      </c>
      <c r="BB20" s="223">
        <v>10</v>
      </c>
      <c r="BC20" s="223" t="b">
        <f ca="1">+AND(tip=AZ20,hektari&gt;=BA20,hektari&lt;=BB20,TRUE)</f>
        <v>0</v>
      </c>
      <c r="BD20" s="223">
        <v>70</v>
      </c>
    </row>
    <row r="21" spans="2:56" ht="12.75" customHeight="1" x14ac:dyDescent="0.2">
      <c r="H21" s="96" t="s">
        <v>40</v>
      </c>
      <c r="I21" s="96" t="s">
        <v>1</v>
      </c>
      <c r="J21" s="96" t="s">
        <v>230</v>
      </c>
      <c r="M21" s="180" t="s">
        <v>503</v>
      </c>
      <c r="S21" s="9"/>
      <c r="T21" s="9"/>
      <c r="W21" s="96" t="s">
        <v>40</v>
      </c>
      <c r="X21" s="96" t="s">
        <v>1</v>
      </c>
      <c r="Y21" s="96" t="s">
        <v>230</v>
      </c>
      <c r="Z21" s="96"/>
      <c r="AB21" s="12" t="s">
        <v>257</v>
      </c>
      <c r="AC21" s="206">
        <f ca="1">_2.01.06.04 + _2.01.06.05 + _2.01.06.06+_2.01.06.08</f>
        <v>0</v>
      </c>
      <c r="AD21" s="13" t="s">
        <v>267</v>
      </c>
      <c r="AE21" s="14" t="s">
        <v>268</v>
      </c>
      <c r="AF21" s="3" t="s">
        <v>424</v>
      </c>
      <c r="AG21" s="168" t="s">
        <v>551</v>
      </c>
      <c r="AH21" s="220">
        <v>0.15</v>
      </c>
      <c r="AI21" s="232">
        <v>0.15</v>
      </c>
      <c r="AJ21" s="220">
        <v>0.15</v>
      </c>
      <c r="AK21" s="279">
        <v>0.15</v>
      </c>
      <c r="AZ21" s="222">
        <v>162</v>
      </c>
      <c r="BA21" s="223">
        <v>10.01</v>
      </c>
      <c r="BB21" s="223">
        <v>50</v>
      </c>
      <c r="BC21" s="223" t="b">
        <f ca="1">+AND(tip=AZ21,hektari&gt;=BA21,hektari&lt;=BB21,TRUE)</f>
        <v>0</v>
      </c>
      <c r="BD21" s="223">
        <v>110</v>
      </c>
    </row>
    <row r="22" spans="2:56" ht="12.75" customHeight="1" x14ac:dyDescent="0.2">
      <c r="B22" s="101" t="str">
        <f>SO!B11</f>
        <v>Šećerna repa</v>
      </c>
      <c r="C22" s="95"/>
      <c r="D22" s="95"/>
      <c r="E22" s="95"/>
      <c r="F22" s="95"/>
      <c r="G22" s="17"/>
      <c r="H22" s="124"/>
      <c r="I22" s="81">
        <f ca="1">SO!C11</f>
        <v>13239.881149999999</v>
      </c>
      <c r="J22" s="211">
        <f ca="1">H22*I22</f>
        <v>0</v>
      </c>
      <c r="K22" s="9"/>
      <c r="P22" s="96" t="s">
        <v>40</v>
      </c>
      <c r="Q22" s="96" t="s">
        <v>1</v>
      </c>
      <c r="R22" s="96" t="s">
        <v>230</v>
      </c>
      <c r="S22" s="10"/>
      <c r="T22" s="10"/>
      <c r="U22" s="102" t="str">
        <f>SO!B49</f>
        <v>Grožđe za kvalitetna vina (sa ZOI)</v>
      </c>
      <c r="V22" s="80"/>
      <c r="W22" s="124"/>
      <c r="X22" s="81">
        <f ca="1">SO!C49</f>
        <v>27673.747780000002</v>
      </c>
      <c r="Y22" s="211">
        <f ca="1">W22*X22</f>
        <v>0</v>
      </c>
      <c r="Z22" s="261"/>
      <c r="AB22" s="12" t="s">
        <v>258</v>
      </c>
      <c r="AC22" s="206">
        <f ca="1">IF(_GL&gt;0,_2.01.03+_2.01.04,_2.01.03+_2.01.04+_2.01.05)</f>
        <v>0</v>
      </c>
      <c r="AD22" s="13" t="s">
        <v>279</v>
      </c>
      <c r="AE22" s="14" t="s">
        <v>106</v>
      </c>
      <c r="AF22" s="3" t="s">
        <v>424</v>
      </c>
      <c r="AG22" s="168" t="s">
        <v>167</v>
      </c>
      <c r="AH22" s="220">
        <v>0.2</v>
      </c>
      <c r="AI22" s="232">
        <v>0.15</v>
      </c>
      <c r="AJ22" s="220">
        <v>0.15</v>
      </c>
      <c r="AK22" s="279">
        <v>0.15</v>
      </c>
      <c r="AZ22" s="222">
        <v>162</v>
      </c>
      <c r="BA22" s="223">
        <v>50.01</v>
      </c>
      <c r="BB22" s="223">
        <v>100</v>
      </c>
      <c r="BC22" s="223" t="b">
        <f ca="1">+AND(tip=AZ22,hektari&gt;=BA22,hektari&lt;=BB22,TRUE)</f>
        <v>0</v>
      </c>
      <c r="BD22" s="223">
        <v>150</v>
      </c>
    </row>
    <row r="23" spans="2:56" ht="12.75" customHeight="1" x14ac:dyDescent="0.2">
      <c r="B23" s="101" t="str">
        <f>SO!B12</f>
        <v>Duhan</v>
      </c>
      <c r="C23" s="95"/>
      <c r="D23" s="95"/>
      <c r="E23" s="95"/>
      <c r="F23" s="95"/>
      <c r="G23" s="17"/>
      <c r="H23" s="124"/>
      <c r="I23" s="81">
        <f ca="1">SO!C12</f>
        <v>16383.55934</v>
      </c>
      <c r="J23" s="211">
        <f ca="1">H23*I23</f>
        <v>0</v>
      </c>
      <c r="K23" s="9"/>
      <c r="M23" s="102" t="str">
        <f>SO!B26</f>
        <v xml:space="preserve">Sjeme i sadni materijal </v>
      </c>
      <c r="N23" s="94"/>
      <c r="O23" s="80"/>
      <c r="P23" s="124"/>
      <c r="Q23" s="81">
        <f ca="1">SO!C26</f>
        <v>16983.812480000001</v>
      </c>
      <c r="R23" s="211">
        <f ca="1">P23*Q23</f>
        <v>0</v>
      </c>
      <c r="S23" s="10"/>
      <c r="T23" s="10"/>
      <c r="U23" s="102" t="str">
        <f>SO!B50</f>
        <v>Grožđe za ostala vina (bez ZOI)</v>
      </c>
      <c r="V23" s="80"/>
      <c r="W23" s="124"/>
      <c r="X23" s="81">
        <f ca="1">SO!C50</f>
        <v>27673.747780000002</v>
      </c>
      <c r="Y23" s="211">
        <f ca="1">W23*X23</f>
        <v>0</v>
      </c>
      <c r="Z23" s="261"/>
      <c r="AB23" s="12" t="s">
        <v>259</v>
      </c>
      <c r="AC23" s="206">
        <f ca="1">_3.02.01+_3.02.03+_3.02.05+_3.02.06</f>
        <v>0</v>
      </c>
      <c r="AD23" s="13" t="s">
        <v>271</v>
      </c>
      <c r="AE23" s="14" t="s">
        <v>101</v>
      </c>
      <c r="AF23" s="3" t="s">
        <v>424</v>
      </c>
      <c r="AG23" s="168" t="s">
        <v>552</v>
      </c>
      <c r="AH23" s="220">
        <v>0.2</v>
      </c>
      <c r="AI23" s="232">
        <v>0.15</v>
      </c>
      <c r="AJ23" s="220">
        <v>0.15</v>
      </c>
      <c r="AK23" s="279">
        <v>0.15</v>
      </c>
      <c r="AZ23" s="222">
        <v>162</v>
      </c>
      <c r="BA23" s="223">
        <v>100.01</v>
      </c>
      <c r="BB23" s="223">
        <v>300</v>
      </c>
      <c r="BC23" s="223" t="b">
        <f ca="1">+AND(tip=AZ23,hektari&gt;=BA23,hektari&lt;=BB23,TRUE)</f>
        <v>0</v>
      </c>
      <c r="BD23" s="223">
        <v>200</v>
      </c>
    </row>
    <row r="24" spans="2:56" ht="12.75" customHeight="1" x14ac:dyDescent="0.2">
      <c r="B24" s="101" t="str">
        <f>SO!B13</f>
        <v>Krumpir</v>
      </c>
      <c r="C24" s="95"/>
      <c r="D24" s="95"/>
      <c r="E24" s="95"/>
      <c r="F24" s="95"/>
      <c r="G24" s="17"/>
      <c r="H24" s="124"/>
      <c r="I24" s="81">
        <f ca="1">SO!C13</f>
        <v>25089.69256</v>
      </c>
      <c r="J24" s="211">
        <f ca="1">H24*I24</f>
        <v>0</v>
      </c>
      <c r="K24" s="9"/>
      <c r="L24" s="289"/>
      <c r="M24" s="102" t="str">
        <f>SO!B27</f>
        <v>Rasadnici</v>
      </c>
      <c r="N24" s="94"/>
      <c r="O24" s="80"/>
      <c r="P24" s="124"/>
      <c r="Q24" s="81">
        <f ca="1">SO!C27</f>
        <v>276860.18239999999</v>
      </c>
      <c r="R24" s="211">
        <f ca="1">P24*Q24</f>
        <v>0</v>
      </c>
      <c r="U24" s="102" t="str">
        <f>SO!B51</f>
        <v>Stolno grožđe</v>
      </c>
      <c r="V24" s="80"/>
      <c r="W24" s="124"/>
      <c r="X24" s="81">
        <f ca="1">SO!C51</f>
        <v>30361.32</v>
      </c>
      <c r="Y24" s="211">
        <f ca="1">W24*X24</f>
        <v>0</v>
      </c>
      <c r="Z24" s="261"/>
      <c r="AA24" s="11"/>
      <c r="AB24" s="12" t="s">
        <v>260</v>
      </c>
      <c r="AC24" s="206">
        <f ca="1">_P45+_3.02.02+_3.02.04+_3.02.99</f>
        <v>0</v>
      </c>
      <c r="AD24" s="13" t="s">
        <v>272</v>
      </c>
      <c r="AE24" s="14" t="s">
        <v>102</v>
      </c>
      <c r="AF24" s="3" t="s">
        <v>424</v>
      </c>
      <c r="AG24" s="168" t="s">
        <v>546</v>
      </c>
      <c r="AH24" s="220">
        <v>2.7E-2</v>
      </c>
      <c r="AI24" s="275">
        <v>2.7E-2</v>
      </c>
      <c r="AJ24" s="220">
        <v>0.3</v>
      </c>
      <c r="AK24" s="279">
        <v>2.7E-2</v>
      </c>
      <c r="AZ24" s="222">
        <v>162</v>
      </c>
      <c r="BA24" s="223">
        <v>300.01</v>
      </c>
      <c r="BB24" s="223">
        <v>500</v>
      </c>
      <c r="BC24" s="223" t="b">
        <f ca="1">+AND(tip=AZ24,hektari&gt;=BA24,hektari&lt;=BB24,TRUE)</f>
        <v>0</v>
      </c>
      <c r="BD24" s="223">
        <v>250</v>
      </c>
    </row>
    <row r="25" spans="2:56" ht="12.75" customHeight="1" x14ac:dyDescent="0.2">
      <c r="S25" s="10"/>
      <c r="T25" s="10"/>
      <c r="AA25" s="105">
        <f ca="1">_2.04.04.01+_2.04.04.02+_2.04.04.03</f>
        <v>0</v>
      </c>
      <c r="AB25" s="12" t="s">
        <v>261</v>
      </c>
      <c r="AC25" s="206">
        <f ca="1">_3.04.01+_3.04.02+_3.04.99</f>
        <v>0</v>
      </c>
      <c r="AD25" s="13" t="s">
        <v>282</v>
      </c>
      <c r="AE25" s="14" t="s">
        <v>103</v>
      </c>
      <c r="AF25" s="3" t="s">
        <v>424</v>
      </c>
      <c r="AG25" s="168" t="s">
        <v>547</v>
      </c>
      <c r="AH25" s="220">
        <v>0.5</v>
      </c>
      <c r="AI25" s="232">
        <v>0.5</v>
      </c>
      <c r="AJ25" s="220">
        <v>0.5</v>
      </c>
      <c r="AK25" s="279">
        <v>0.5</v>
      </c>
      <c r="AZ25" s="222">
        <v>162</v>
      </c>
      <c r="BA25" s="223">
        <v>500.01</v>
      </c>
      <c r="BB25" s="223"/>
      <c r="BC25" s="223" t="b">
        <f ca="1">+AND(tip=AZ25,hektari&gt;=BA25,TRUE)</f>
        <v>0</v>
      </c>
      <c r="BD25" s="223">
        <v>300</v>
      </c>
    </row>
    <row r="26" spans="2:56" ht="12.75" customHeight="1" x14ac:dyDescent="0.2">
      <c r="B26" s="180" t="s">
        <v>501</v>
      </c>
      <c r="M26" s="180" t="s">
        <v>504</v>
      </c>
      <c r="S26" s="10"/>
      <c r="T26" s="10"/>
      <c r="U26" s="180" t="s">
        <v>556</v>
      </c>
      <c r="AA26" s="11"/>
      <c r="AB26" s="12" t="s">
        <v>262</v>
      </c>
      <c r="AC26" s="206">
        <f ca="1">_3.05.01+_3.05.02+_3.05.03</f>
        <v>0</v>
      </c>
      <c r="AD26" s="13" t="s">
        <v>283</v>
      </c>
      <c r="AE26" s="14" t="s">
        <v>104</v>
      </c>
      <c r="AF26" s="3" t="s">
        <v>424</v>
      </c>
      <c r="AG26" s="168" t="s">
        <v>548</v>
      </c>
      <c r="AH26" s="220">
        <v>0.3</v>
      </c>
      <c r="AI26" s="232"/>
      <c r="AJ26" s="220">
        <v>0.3</v>
      </c>
      <c r="AK26" s="279" t="s">
        <v>421</v>
      </c>
      <c r="AZ26" s="222">
        <v>164</v>
      </c>
      <c r="BA26" s="223">
        <v>0</v>
      </c>
      <c r="BB26" s="223">
        <v>10</v>
      </c>
      <c r="BC26" s="223" t="b">
        <f ca="1">+AND(tip=AZ26,hektari&gt;=BA26,hektari&lt;=BB26,TRUE)</f>
        <v>0</v>
      </c>
      <c r="BD26" s="223">
        <v>70</v>
      </c>
    </row>
    <row r="27" spans="2:56" ht="12.75" customHeight="1" x14ac:dyDescent="0.2">
      <c r="H27" s="96" t="s">
        <v>40</v>
      </c>
      <c r="I27" s="96" t="s">
        <v>1</v>
      </c>
      <c r="J27" s="96" t="s">
        <v>230</v>
      </c>
      <c r="P27" s="96" t="s">
        <v>40</v>
      </c>
      <c r="Q27" s="96" t="s">
        <v>1</v>
      </c>
      <c r="R27" s="96" t="s">
        <v>230</v>
      </c>
      <c r="S27" s="10"/>
      <c r="T27" s="10"/>
      <c r="W27" s="96" t="s">
        <v>40</v>
      </c>
      <c r="X27" s="96" t="s">
        <v>1</v>
      </c>
      <c r="Y27" s="96" t="s">
        <v>230</v>
      </c>
      <c r="Z27" s="96"/>
      <c r="AA27" s="11"/>
      <c r="AB27" s="12" t="s">
        <v>263</v>
      </c>
      <c r="AC27" s="206">
        <f ca="1">_3.01+_P46+_3.03.01.01 + _3.03.01.99 +_3.03.02.01 + _3.03.02.99</f>
        <v>0</v>
      </c>
      <c r="AD27" s="13" t="s">
        <v>273</v>
      </c>
      <c r="AE27" s="14" t="s">
        <v>274</v>
      </c>
      <c r="AF27" s="3" t="s">
        <v>424</v>
      </c>
      <c r="AG27" s="168" t="s">
        <v>549</v>
      </c>
      <c r="AH27" s="220">
        <v>0.3</v>
      </c>
      <c r="AI27" s="232">
        <v>0.3</v>
      </c>
      <c r="AJ27" s="220">
        <v>0.3</v>
      </c>
      <c r="AK27" s="279">
        <v>0.3</v>
      </c>
      <c r="AZ27" s="222">
        <v>164</v>
      </c>
      <c r="BA27" s="223">
        <v>10.01</v>
      </c>
      <c r="BB27" s="223">
        <v>50</v>
      </c>
      <c r="BC27" s="223" t="b">
        <f ca="1">+AND(tip=AZ27,hektari&gt;=BA27,hektari&lt;=BB27,TRUE)</f>
        <v>0</v>
      </c>
      <c r="BD27" s="223">
        <v>110</v>
      </c>
    </row>
    <row r="28" spans="2:56" ht="12.75" customHeight="1" x14ac:dyDescent="0.2">
      <c r="B28" s="101" t="str">
        <f>SO!B14</f>
        <v>Uljana repica</v>
      </c>
      <c r="C28" s="95"/>
      <c r="D28" s="95"/>
      <c r="E28" s="95"/>
      <c r="F28" s="95"/>
      <c r="G28" s="17"/>
      <c r="H28" s="124"/>
      <c r="I28" s="81">
        <f ca="1">SO!C14</f>
        <v>7576.0914480000001</v>
      </c>
      <c r="J28" s="211">
        <f ca="1">H28*I28</f>
        <v>0</v>
      </c>
      <c r="L28" s="289"/>
      <c r="M28" s="102" t="str">
        <f>SO!B28</f>
        <v>Cvijeće i ukrasno bilje (oranice, plastični tuneli)</v>
      </c>
      <c r="N28" s="94"/>
      <c r="O28" s="80"/>
      <c r="P28" s="124"/>
      <c r="Q28" s="81">
        <f ca="1">SO!C28</f>
        <v>641200</v>
      </c>
      <c r="R28" s="211">
        <f ca="1">P28*Q28</f>
        <v>0</v>
      </c>
      <c r="S28" s="10"/>
      <c r="T28" s="10"/>
      <c r="U28" s="102" t="str">
        <f>SO!B52</f>
        <v>Stolne masline</v>
      </c>
      <c r="V28" s="80"/>
      <c r="W28" s="124"/>
      <c r="X28" s="81">
        <f ca="1">SO!C52</f>
        <v>0</v>
      </c>
      <c r="Y28" s="211">
        <f ca="1">W28*X28</f>
        <v>0</v>
      </c>
      <c r="Z28" s="261"/>
      <c r="AA28" s="11"/>
      <c r="AB28" s="12" t="s">
        <v>264</v>
      </c>
      <c r="AC28" s="206">
        <f ca="1">IF(_GL=0,0,_2.01.05+_2.01.09 +_2.03.01)</f>
        <v>0</v>
      </c>
      <c r="AD28" s="13" t="s">
        <v>277</v>
      </c>
      <c r="AE28" s="14" t="s">
        <v>278</v>
      </c>
      <c r="AF28" s="3" t="s">
        <v>424</v>
      </c>
      <c r="AG28" s="168" t="s">
        <v>86</v>
      </c>
      <c r="AH28" s="220">
        <v>7.0000000000000001E-3</v>
      </c>
      <c r="AI28" s="232">
        <v>2.5000000000000001E-3</v>
      </c>
      <c r="AJ28" s="277">
        <v>2.5000000000000001E-3</v>
      </c>
      <c r="AK28" s="279">
        <v>2.5000000000000001E-3</v>
      </c>
      <c r="AZ28" s="222">
        <v>164</v>
      </c>
      <c r="BA28" s="223">
        <v>50.01</v>
      </c>
      <c r="BB28" s="223">
        <v>100</v>
      </c>
      <c r="BC28" s="223" t="b">
        <f ca="1">+AND(tip=AZ28,hektari&gt;=BA28,hektari&lt;=BB28,TRUE)</f>
        <v>0</v>
      </c>
      <c r="BD28" s="223">
        <v>150</v>
      </c>
    </row>
    <row r="29" spans="2:56" ht="12.75" customHeight="1" x14ac:dyDescent="0.2">
      <c r="B29" s="101" t="str">
        <f>SO!B15</f>
        <v>Suncokret</v>
      </c>
      <c r="C29" s="95"/>
      <c r="D29" s="95"/>
      <c r="E29" s="95"/>
      <c r="F29" s="95"/>
      <c r="G29" s="17"/>
      <c r="H29" s="124"/>
      <c r="I29" s="81">
        <f ca="1">SO!C15</f>
        <v>6835.0909300000003</v>
      </c>
      <c r="J29" s="211">
        <f ca="1">H29*I29</f>
        <v>0</v>
      </c>
      <c r="L29" s="289"/>
      <c r="M29" s="102" t="str">
        <f>SO!B29</f>
        <v>Cvijeće i ukrasno bilje (plastenici, staklenici)</v>
      </c>
      <c r="N29" s="94"/>
      <c r="O29" s="80"/>
      <c r="P29" s="124"/>
      <c r="Q29" s="81">
        <f ca="1">SO!C29</f>
        <v>778600</v>
      </c>
      <c r="R29" s="211">
        <f ca="1">P29*Q29</f>
        <v>0</v>
      </c>
      <c r="S29" s="10"/>
      <c r="T29" s="10"/>
      <c r="U29" s="102" t="str">
        <f>SO!B53</f>
        <v>Masline za proizvodnju ulja</v>
      </c>
      <c r="V29" s="80"/>
      <c r="W29" s="124"/>
      <c r="X29" s="81">
        <f ca="1">SO!C53</f>
        <v>0</v>
      </c>
      <c r="Y29" s="211">
        <f ca="1">W29*X29</f>
        <v>0</v>
      </c>
      <c r="Z29" s="261"/>
      <c r="AA29" s="11"/>
      <c r="AB29" s="12"/>
      <c r="AC29" s="206"/>
      <c r="AD29" s="13"/>
      <c r="AE29" s="14"/>
      <c r="AG29" s="168" t="s">
        <v>88</v>
      </c>
      <c r="AH29" s="220">
        <v>1.4E-2</v>
      </c>
      <c r="AI29" s="232">
        <v>1.4E-2</v>
      </c>
      <c r="AJ29" s="277">
        <v>4.0000000000000001E-3</v>
      </c>
      <c r="AK29" s="279">
        <v>4.0000000000000001E-3</v>
      </c>
      <c r="AZ29" s="222">
        <v>164</v>
      </c>
      <c r="BA29" s="223">
        <v>100.01</v>
      </c>
      <c r="BB29" s="223">
        <v>300</v>
      </c>
      <c r="BC29" s="223" t="b">
        <f ca="1">+AND(tip=AZ29,hektari&gt;=BA29,hektari&lt;=BB29,TRUE)</f>
        <v>0</v>
      </c>
      <c r="BD29" s="223">
        <v>200</v>
      </c>
    </row>
    <row r="30" spans="2:56" ht="12.75" customHeight="1" x14ac:dyDescent="0.2">
      <c r="B30" s="101" t="str">
        <f>SO!B16</f>
        <v>Soja</v>
      </c>
      <c r="C30" s="95"/>
      <c r="D30" s="95"/>
      <c r="E30" s="95"/>
      <c r="F30" s="95"/>
      <c r="G30" s="17"/>
      <c r="H30" s="124"/>
      <c r="I30" s="81">
        <f ca="1">SO!C16</f>
        <v>6280.819904</v>
      </c>
      <c r="J30" s="211">
        <f ca="1">H30*I30</f>
        <v>0</v>
      </c>
      <c r="L30" s="291"/>
      <c r="M30" s="10"/>
      <c r="N30" s="7"/>
      <c r="O30" s="7"/>
      <c r="P30" s="7"/>
      <c r="Q30" s="7"/>
      <c r="R30" s="7"/>
      <c r="S30" s="10"/>
      <c r="T30" s="10"/>
      <c r="AA30" s="11"/>
      <c r="AB30" s="12" t="s">
        <v>265</v>
      </c>
      <c r="AC30" s="206">
        <f ca="1">IF(_GL=0,_2.01.05+_2.01.09+_2.03.01,0)</f>
        <v>0</v>
      </c>
      <c r="AD30" s="13" t="s">
        <v>275</v>
      </c>
      <c r="AE30" s="14" t="s">
        <v>276</v>
      </c>
      <c r="AF30" s="3" t="s">
        <v>424</v>
      </c>
      <c r="AG30" s="168" t="s">
        <v>550</v>
      </c>
      <c r="AH30" s="220">
        <v>0.03</v>
      </c>
      <c r="AI30" s="232">
        <v>0.03</v>
      </c>
      <c r="AJ30" s="277">
        <v>0.02</v>
      </c>
      <c r="AK30" s="279">
        <v>0.02</v>
      </c>
      <c r="AZ30" s="222">
        <v>164</v>
      </c>
      <c r="BA30" s="223">
        <v>300.01</v>
      </c>
      <c r="BB30" s="223">
        <v>500</v>
      </c>
      <c r="BC30" s="223" t="b">
        <f ca="1">+AND(tip=AZ30,hektari&gt;=BA30,hektari&lt;=BB30,TRUE)</f>
        <v>0</v>
      </c>
      <c r="BD30" s="223">
        <v>250</v>
      </c>
    </row>
    <row r="31" spans="2:56" ht="14.25" customHeight="1" thickBot="1" x14ac:dyDescent="0.25">
      <c r="B31" s="101" t="str">
        <f>SO!B17</f>
        <v>Ostale uljarice (ricinus, sezam, gorčica, mak, uljne tikve...)*</v>
      </c>
      <c r="C31" s="95"/>
      <c r="D31" s="95"/>
      <c r="E31" s="95"/>
      <c r="F31" s="95"/>
      <c r="G31" s="17"/>
      <c r="H31" s="124"/>
      <c r="I31" s="81">
        <f ca="1">SO!C17</f>
        <v>7003.9763199999998</v>
      </c>
      <c r="J31" s="211">
        <f ca="1">H31*I31</f>
        <v>0</v>
      </c>
      <c r="K31" s="9"/>
      <c r="L31" s="291"/>
      <c r="M31" s="180" t="s">
        <v>505</v>
      </c>
      <c r="O31" s="10"/>
      <c r="P31" s="16"/>
      <c r="Q31" s="10"/>
      <c r="R31" s="10"/>
      <c r="S31" s="10"/>
      <c r="T31" s="10"/>
      <c r="U31" s="180" t="s">
        <v>688</v>
      </c>
      <c r="AA31" s="105">
        <f ca="1">_2.04.03.01+_2.04.03.02</f>
        <v>0</v>
      </c>
      <c r="AB31" s="12" t="s">
        <v>251</v>
      </c>
      <c r="AC31" s="206">
        <f ca="1">_P1+_P2+_P231+_P3+_P4+_P5+_3.07</f>
        <v>0</v>
      </c>
      <c r="AD31" s="13" t="s">
        <v>284</v>
      </c>
      <c r="AE31" s="14" t="s">
        <v>285</v>
      </c>
      <c r="AF31" s="3" t="s">
        <v>424</v>
      </c>
      <c r="AG31" s="168" t="s">
        <v>690</v>
      </c>
      <c r="AH31" s="220">
        <v>0.02</v>
      </c>
      <c r="AI31" s="232">
        <v>0.02</v>
      </c>
      <c r="AJ31" s="220">
        <v>0.02</v>
      </c>
      <c r="AK31" s="280">
        <v>0.02</v>
      </c>
      <c r="AZ31" s="222">
        <v>164</v>
      </c>
      <c r="BA31" s="223">
        <v>500.01</v>
      </c>
      <c r="BB31" s="223"/>
      <c r="BC31" s="223" t="b">
        <f ca="1">+AND(tip=AZ31,hektari&gt;=BA31,TRUE)</f>
        <v>0</v>
      </c>
      <c r="BD31" s="223">
        <v>300</v>
      </c>
    </row>
    <row r="32" spans="2:56" ht="12.75" customHeight="1" thickTop="1" x14ac:dyDescent="0.2">
      <c r="L32" s="291"/>
      <c r="M32" s="10"/>
      <c r="P32" s="96" t="s">
        <v>40</v>
      </c>
      <c r="Q32" s="96" t="s">
        <v>1</v>
      </c>
      <c r="R32" s="96" t="s">
        <v>230</v>
      </c>
      <c r="S32" s="10"/>
      <c r="T32" s="10"/>
      <c r="U32" s="82"/>
      <c r="W32" s="96" t="s">
        <v>686</v>
      </c>
      <c r="Y32" s="96" t="s">
        <v>230</v>
      </c>
      <c r="Z32" s="96"/>
      <c r="AB32" s="12"/>
      <c r="AC32" s="206"/>
      <c r="AD32" s="13"/>
      <c r="AE32" s="14"/>
      <c r="AZ32" s="222">
        <v>166</v>
      </c>
      <c r="BA32" s="223">
        <v>0</v>
      </c>
      <c r="BB32" s="223">
        <v>10</v>
      </c>
      <c r="BC32" s="223" t="b">
        <f ca="1">+AND(tip=AZ32,hektari&gt;=BA32,hektari&lt;=BB32,TRUE)</f>
        <v>0</v>
      </c>
      <c r="BD32" s="223">
        <v>70</v>
      </c>
    </row>
    <row r="33" spans="2:56" ht="12.75" customHeight="1" x14ac:dyDescent="0.2">
      <c r="H33" s="96" t="s">
        <v>40</v>
      </c>
      <c r="I33" s="96" t="s">
        <v>1</v>
      </c>
      <c r="J33" s="96" t="s">
        <v>230</v>
      </c>
      <c r="L33" s="291"/>
      <c r="M33" s="102" t="str">
        <f>SO!B30</f>
        <v>Povrće, dinje, lubenice, jagode (oranice)</v>
      </c>
      <c r="N33" s="94"/>
      <c r="O33" s="80"/>
      <c r="P33" s="124"/>
      <c r="Q33" s="81">
        <f ca="1">SO!C30</f>
        <v>41899.176820000001</v>
      </c>
      <c r="R33" s="211">
        <f ca="1">P33*Q33</f>
        <v>0</v>
      </c>
      <c r="S33" s="10"/>
      <c r="T33" s="10"/>
      <c r="U33" s="102" t="str">
        <f>SO!B54</f>
        <v>Gljive</v>
      </c>
      <c r="W33" s="124"/>
      <c r="X33" s="81">
        <f ca="1">SO!C54</f>
        <v>2730</v>
      </c>
      <c r="Y33" s="211">
        <f ca="1">W33*X33</f>
        <v>0</v>
      </c>
      <c r="Z33" s="261"/>
      <c r="AB33" s="12" t="s">
        <v>116</v>
      </c>
      <c r="AC33" s="206">
        <f ca="1">TSO/3</f>
        <v>0</v>
      </c>
      <c r="AD33" s="14" t="s">
        <v>286</v>
      </c>
      <c r="AE33" s="14" t="s">
        <v>288</v>
      </c>
      <c r="AF33" s="3" t="s">
        <v>424</v>
      </c>
      <c r="AZ33" s="222">
        <v>166</v>
      </c>
      <c r="BA33" s="223">
        <v>10.01</v>
      </c>
      <c r="BB33" s="223">
        <v>50</v>
      </c>
      <c r="BC33" s="223" t="b">
        <f ca="1">+AND(tip=AZ33,hektari&gt;=BA33,hektari&lt;=BB33,TRUE)</f>
        <v>0</v>
      </c>
      <c r="BD33" s="223">
        <v>110</v>
      </c>
    </row>
    <row r="34" spans="2:56" ht="14.25" customHeight="1" x14ac:dyDescent="0.2">
      <c r="B34" s="101" t="str">
        <f>SO!B18</f>
        <v>Ljekovito, začinsko i aromatično bilje</v>
      </c>
      <c r="C34" s="95"/>
      <c r="D34" s="95"/>
      <c r="E34" s="95"/>
      <c r="F34" s="95"/>
      <c r="G34" s="17"/>
      <c r="H34" s="124"/>
      <c r="I34" s="81">
        <f ca="1">SO!C18</f>
        <v>11287.422759999999</v>
      </c>
      <c r="J34" s="211">
        <f ca="1">H34*I34</f>
        <v>0</v>
      </c>
      <c r="L34" s="291"/>
      <c r="M34" s="94" t="str">
        <f>SO!B31</f>
        <v>Povrće, dinje, lubenice, jagode (plastični tuneli)</v>
      </c>
      <c r="N34" s="94"/>
      <c r="O34" s="80"/>
      <c r="P34" s="124"/>
      <c r="Q34" s="81">
        <f ca="1">SO!C31</f>
        <v>51105.482429999996</v>
      </c>
      <c r="R34" s="211">
        <f ca="1">P34*Q34</f>
        <v>0</v>
      </c>
      <c r="S34" s="10"/>
      <c r="T34" s="10"/>
      <c r="W34" s="96"/>
      <c r="AB34" s="12" t="s">
        <v>117</v>
      </c>
      <c r="AC34" s="206">
        <f ca="1">_1T*2</f>
        <v>0</v>
      </c>
      <c r="AD34" s="18" t="s">
        <v>287</v>
      </c>
      <c r="AE34" s="18" t="s">
        <v>289</v>
      </c>
      <c r="AF34" s="3" t="s">
        <v>424</v>
      </c>
      <c r="AQ34" s="25" t="s">
        <v>488</v>
      </c>
      <c r="AZ34" s="222">
        <v>166</v>
      </c>
      <c r="BA34" s="223">
        <v>50.01</v>
      </c>
      <c r="BB34" s="223">
        <v>100</v>
      </c>
      <c r="BC34" s="223" t="b">
        <f ca="1">+AND(tip=AZ34,hektari&gt;=BA34,hektari&lt;=BB34,TRUE)</f>
        <v>0</v>
      </c>
      <c r="BD34" s="223">
        <v>150</v>
      </c>
    </row>
    <row r="35" spans="2:56" ht="13.5" customHeight="1" x14ac:dyDescent="0.2">
      <c r="B35" s="101" t="str">
        <f>SO!B19</f>
        <v>Ostalo industrijsko bilje *</v>
      </c>
      <c r="C35" s="95"/>
      <c r="D35" s="95"/>
      <c r="E35" s="95"/>
      <c r="F35" s="95"/>
      <c r="G35" s="17"/>
      <c r="H35" s="124"/>
      <c r="I35" s="81">
        <f ca="1">SO!C19</f>
        <v>2627.2917470000002</v>
      </c>
      <c r="J35" s="211">
        <f ca="1">H35*I35</f>
        <v>0</v>
      </c>
      <c r="K35" s="9"/>
      <c r="L35" s="291"/>
      <c r="M35" s="94" t="str">
        <f>SO!B32</f>
        <v>Povrće, dinje, lubenice, jagode (staklenici, plastenici)</v>
      </c>
      <c r="N35" s="94"/>
      <c r="O35" s="80"/>
      <c r="P35" s="124"/>
      <c r="Q35" s="81">
        <f ca="1">SO!C32</f>
        <v>355814.00870000001</v>
      </c>
      <c r="R35" s="211">
        <f ca="1">P35*Q35</f>
        <v>0</v>
      </c>
      <c r="S35" s="10"/>
      <c r="T35" s="10"/>
      <c r="U35" s="333" t="s">
        <v>728</v>
      </c>
      <c r="W35" s="96" t="s">
        <v>40</v>
      </c>
      <c r="AA35" s="325"/>
      <c r="AB35" s="22"/>
      <c r="AC35" s="207"/>
      <c r="AD35" s="23"/>
      <c r="AE35" s="23"/>
      <c r="AM35" s="25" t="s">
        <v>620</v>
      </c>
      <c r="AZ35" s="222">
        <v>166</v>
      </c>
      <c r="BA35" s="223">
        <v>100.01</v>
      </c>
      <c r="BB35" s="223">
        <v>300</v>
      </c>
      <c r="BC35" s="223" t="b">
        <f ca="1">+AND(tip=AZ35,hektari&gt;=BA35,hektari&lt;=BB35,TRUE)</f>
        <v>0</v>
      </c>
      <c r="BD35" s="223">
        <v>200</v>
      </c>
    </row>
    <row r="36" spans="2:56" ht="12.75" customHeight="1" thickBot="1" x14ac:dyDescent="0.25">
      <c r="B36" s="102" t="str">
        <f>SO!B55</f>
        <v>Božićna drvca</v>
      </c>
      <c r="H36" s="221"/>
      <c r="I36" s="81">
        <f ca="1">SO!C55</f>
        <v>27930</v>
      </c>
      <c r="J36" s="211">
        <f ca="1">H36*I36</f>
        <v>0</v>
      </c>
      <c r="L36" s="291"/>
      <c r="M36" s="10"/>
      <c r="S36" s="10"/>
      <c r="T36" s="10"/>
      <c r="U36" s="333"/>
      <c r="W36" s="221"/>
      <c r="AZ36" s="222">
        <v>166</v>
      </c>
      <c r="BA36" s="223">
        <v>300.01</v>
      </c>
      <c r="BB36" s="223">
        <v>500</v>
      </c>
      <c r="BC36" s="223" t="b">
        <f ca="1">+AND(tip=AZ36,hektari&gt;=BA36,hektari&lt;=BB36,TRUE)</f>
        <v>0</v>
      </c>
      <c r="BD36" s="223">
        <v>250</v>
      </c>
    </row>
    <row r="37" spans="2:56" ht="12.75" customHeight="1" thickTop="1" x14ac:dyDescent="0.2">
      <c r="B37" s="101" t="str">
        <f>SO!B56</f>
        <v>Ugari</v>
      </c>
      <c r="C37" s="95"/>
      <c r="D37" s="95"/>
      <c r="E37" s="95"/>
      <c r="H37" s="124"/>
      <c r="I37" s="81">
        <f ca="1">SO!C56</f>
        <v>0</v>
      </c>
      <c r="J37" s="233" t="str">
        <f>IF(H37&gt;0,"0,00"," ")</f>
        <v xml:space="preserve"> </v>
      </c>
      <c r="L37" s="291"/>
      <c r="M37" s="10"/>
      <c r="T37" s="10"/>
      <c r="U37" s="180"/>
      <c r="AB37" s="26"/>
      <c r="AC37" s="27"/>
      <c r="AD37" s="27"/>
      <c r="AE37" s="28">
        <f ca="1">VLOOKUP(1,AB41:AG49,2,FALSE)</f>
        <v>9</v>
      </c>
      <c r="AF37" s="27"/>
      <c r="AG37" s="27"/>
      <c r="AH37" s="27"/>
      <c r="AI37" s="41"/>
      <c r="AJ37" s="42"/>
      <c r="AK37" s="42"/>
      <c r="AL37" s="42"/>
      <c r="AM37" s="43">
        <f ca="1">VLOOKUP(1,AI42:AN103,2,FALSE)</f>
        <v>900</v>
      </c>
      <c r="AN37" s="42"/>
      <c r="AO37" s="44"/>
      <c r="AQ37" s="26"/>
      <c r="AR37" s="27"/>
      <c r="AS37" s="27"/>
      <c r="AT37" s="88">
        <f ca="1">VLOOKUP(1,AQ41:AV49,2,FALSE)</f>
        <v>90</v>
      </c>
      <c r="AU37" s="27"/>
      <c r="AV37" s="27"/>
      <c r="AW37" s="27"/>
      <c r="AZ37" s="222">
        <v>166</v>
      </c>
      <c r="BA37" s="223">
        <v>500.01</v>
      </c>
      <c r="BB37" s="223"/>
      <c r="BC37" s="223" t="b">
        <f ca="1">+AND(tip=AZ37,hektari&gt;=BA37,TRUE)</f>
        <v>0</v>
      </c>
      <c r="BD37" s="223">
        <v>300</v>
      </c>
    </row>
    <row r="38" spans="2:56" ht="18.75" customHeight="1" thickBo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  <c r="L38" s="291"/>
      <c r="M38" s="10"/>
      <c r="N38" s="7"/>
      <c r="O38" s="7"/>
      <c r="P38" s="7"/>
      <c r="Q38" s="7"/>
      <c r="R38" s="7"/>
      <c r="S38" s="10"/>
      <c r="T38" s="10"/>
      <c r="U38" s="7"/>
      <c r="V38" s="7"/>
      <c r="W38" s="7"/>
      <c r="X38" s="7"/>
      <c r="Y38" s="7"/>
      <c r="Z38" s="7"/>
      <c r="AB38" s="29"/>
      <c r="AC38" s="7"/>
      <c r="AD38" s="7"/>
      <c r="AE38" s="30" t="str">
        <f ca="1">VLOOKUP(1,_PN1,IF(Langue = "FR",4,IF(Langue = "EN", 3, 5)),FALSE)</f>
        <v>Neklasificirana poljoprivredna gospodarstva</v>
      </c>
      <c r="AF38" s="7"/>
      <c r="AG38" s="7"/>
      <c r="AH38" s="7"/>
      <c r="AI38" s="45"/>
      <c r="AJ38" s="7"/>
      <c r="AK38" s="7"/>
      <c r="AL38" s="7"/>
      <c r="AM38" s="46" t="str">
        <f ca="1">VLOOKUP(1,AI42:AN103,5,FALSE)</f>
        <v>Neklasificirano poljoprivredno gospodarstvo</v>
      </c>
      <c r="AN38" s="7"/>
      <c r="AO38" s="47"/>
      <c r="AQ38" s="29"/>
      <c r="AR38" s="7"/>
      <c r="AS38" s="7"/>
      <c r="AT38" s="89" t="str">
        <f ca="1">VLOOKUP(1,_PNF13,IF(Langue = "FR",4,IF(Langue = "EN", 3, 5)),FALSE)</f>
        <v>Neklasificirano poljoprivredno gospodarstvo</v>
      </c>
      <c r="AU38" s="7"/>
      <c r="AV38" s="7"/>
      <c r="AW38" s="7"/>
      <c r="AZ38" s="222">
        <v>831</v>
      </c>
      <c r="BA38" s="223">
        <v>0</v>
      </c>
      <c r="BB38" s="223">
        <v>10</v>
      </c>
      <c r="BC38" s="223" t="b">
        <f ca="1">+AND(tip=AZ38,hektari&gt;=BA38,hektari&lt;=BB38,TRUE)</f>
        <v>0</v>
      </c>
      <c r="BD38" s="223">
        <v>70</v>
      </c>
    </row>
    <row r="39" spans="2:56" ht="28.5" customHeight="1" thickTop="1" x14ac:dyDescent="0.25">
      <c r="B39" s="257" t="s">
        <v>508</v>
      </c>
      <c r="C39" s="258"/>
      <c r="D39" s="258"/>
      <c r="E39" s="258"/>
      <c r="F39" s="258"/>
      <c r="G39" s="258"/>
      <c r="H39" s="258"/>
      <c r="I39" s="258"/>
      <c r="J39" s="258"/>
      <c r="K39" s="258"/>
      <c r="L39" s="287"/>
      <c r="M39" s="259"/>
      <c r="N39" s="258"/>
      <c r="O39" s="258"/>
      <c r="P39" s="258"/>
      <c r="Q39" s="258"/>
      <c r="R39" s="258"/>
      <c r="S39" s="259"/>
      <c r="T39" s="259"/>
      <c r="U39" s="258"/>
      <c r="V39" s="258"/>
      <c r="W39" s="258"/>
      <c r="X39" s="258"/>
      <c r="Y39" s="258"/>
      <c r="Z39" s="7"/>
      <c r="AB39" s="29"/>
      <c r="AC39" s="7"/>
      <c r="AD39" s="7"/>
      <c r="AE39" s="7"/>
      <c r="AF39" s="7"/>
      <c r="AG39" s="7"/>
      <c r="AH39" s="7"/>
      <c r="AI39" s="45"/>
      <c r="AJ39" s="7"/>
      <c r="AK39" s="7"/>
      <c r="AL39" s="7"/>
      <c r="AM39" s="7" t="str">
        <f ca="1">VLOOKUP(1,_PNF13,IF(Langue = "FR",4,IF(Langue = "EN", 3, 5)),FALSE)</f>
        <v>Neklasificirano poljoprivredno gospodarstvo</v>
      </c>
      <c r="AN39" s="7"/>
      <c r="AO39" s="47"/>
      <c r="AQ39" s="29"/>
      <c r="AR39" s="7"/>
      <c r="AS39" s="7"/>
      <c r="AT39" s="7"/>
      <c r="AU39" s="7"/>
      <c r="AV39" s="7"/>
      <c r="AW39" s="7"/>
      <c r="AZ39" s="222">
        <v>831</v>
      </c>
      <c r="BA39" s="223">
        <v>10.01</v>
      </c>
      <c r="BB39" s="223">
        <v>50</v>
      </c>
      <c r="BC39" s="223" t="b">
        <f ca="1">+AND(tip=AZ39,hektari&gt;=BA39,hektari&lt;=BB39,TRUE)</f>
        <v>0</v>
      </c>
      <c r="BD39" s="223">
        <v>110</v>
      </c>
    </row>
    <row r="40" spans="2:56" ht="12.75" customHeight="1" x14ac:dyDescent="0.2">
      <c r="C40" s="135"/>
      <c r="L40" s="291"/>
      <c r="M40" s="10"/>
      <c r="S40" s="10"/>
      <c r="T40" s="10"/>
      <c r="U40" s="345" t="s">
        <v>621</v>
      </c>
      <c r="AB40" s="29"/>
      <c r="AC40" s="7"/>
      <c r="AD40" s="7"/>
      <c r="AE40" s="7"/>
      <c r="AF40" s="7"/>
      <c r="AG40" s="7"/>
      <c r="AH40" s="7"/>
      <c r="AI40" s="45"/>
      <c r="AJ40" s="7"/>
      <c r="AK40" s="7"/>
      <c r="AL40" s="7"/>
      <c r="AM40" s="7"/>
      <c r="AN40" s="7"/>
      <c r="AO40" s="47"/>
      <c r="AQ40" s="29"/>
      <c r="AR40" s="7"/>
      <c r="AS40" s="7"/>
      <c r="AT40" s="7"/>
      <c r="AU40" s="7"/>
      <c r="AV40" s="7"/>
      <c r="AW40" s="7"/>
      <c r="AZ40" s="222">
        <v>831</v>
      </c>
      <c r="BA40" s="223">
        <v>50.01</v>
      </c>
      <c r="BB40" s="223">
        <v>100</v>
      </c>
      <c r="BC40" s="223" t="b">
        <f ca="1">+AND(tip=AZ40,hektari&gt;=BA40,hektari&lt;=BB40,TRUE)</f>
        <v>0</v>
      </c>
      <c r="BD40" s="223">
        <v>150</v>
      </c>
    </row>
    <row r="41" spans="2:56" ht="12.75" customHeight="1" x14ac:dyDescent="0.2">
      <c r="B41" s="180" t="s">
        <v>509</v>
      </c>
      <c r="L41" s="291"/>
      <c r="M41" s="180" t="s">
        <v>513</v>
      </c>
      <c r="S41" s="10"/>
      <c r="T41" s="10"/>
      <c r="U41" s="345"/>
      <c r="V41" s="341">
        <f>SUM(H14:H19,H22:H24,H28:H31,H34:H37,P14:P19,P23:P24,P28:P29,P33:P35,W14:W18,W22:W24,W28:W29,W33/10000,P60/10000)</f>
        <v>0</v>
      </c>
      <c r="W41" s="342"/>
      <c r="X41" s="7"/>
      <c r="AB41" s="29">
        <f ca="1">PN1_1+0</f>
        <v>0</v>
      </c>
      <c r="AC41" s="208">
        <v>1</v>
      </c>
      <c r="AD41" s="19" t="s">
        <v>290</v>
      </c>
      <c r="AE41" s="19" t="s">
        <v>108</v>
      </c>
      <c r="AF41" s="19" t="s">
        <v>345</v>
      </c>
      <c r="AG41" s="19" t="b">
        <f ca="1">_P1&gt;_2T</f>
        <v>0</v>
      </c>
      <c r="AH41" s="7" t="str">
        <f>"PN1_"&amp;AC41</f>
        <v>PN1_1</v>
      </c>
      <c r="AI41" s="45"/>
      <c r="AJ41" s="7"/>
      <c r="AK41" s="7"/>
      <c r="AL41" s="7"/>
      <c r="AM41" s="7"/>
      <c r="AN41" s="7"/>
      <c r="AO41" s="47"/>
      <c r="AQ41" s="84">
        <f ca="1">_PN1_10+0</f>
        <v>0</v>
      </c>
      <c r="AR41" s="85">
        <v>10</v>
      </c>
      <c r="AS41" s="85" t="s">
        <v>108</v>
      </c>
      <c r="AT41" s="85" t="s">
        <v>290</v>
      </c>
      <c r="AU41" s="86" t="s">
        <v>481</v>
      </c>
      <c r="AV41" s="85" t="b">
        <f ca="1">OR(CT_Farm_PN2=15,CT_Farm_PN2=16)</f>
        <v>0</v>
      </c>
      <c r="AW41" s="87" t="str">
        <f>"PN1_"&amp;AR41</f>
        <v>PN1_10</v>
      </c>
      <c r="AZ41" s="222">
        <v>831</v>
      </c>
      <c r="BA41" s="223">
        <v>100.01</v>
      </c>
      <c r="BB41" s="223">
        <v>300</v>
      </c>
      <c r="BC41" s="223" t="b">
        <f ca="1">+AND(tip=AZ41,hektari&gt;=BA41,hektari&lt;=BB41,TRUE)</f>
        <v>0</v>
      </c>
      <c r="BD41" s="223">
        <v>200</v>
      </c>
    </row>
    <row r="42" spans="2:56" ht="12.75" customHeight="1" x14ac:dyDescent="0.2">
      <c r="H42" s="96" t="s">
        <v>169</v>
      </c>
      <c r="I42" s="96" t="s">
        <v>1</v>
      </c>
      <c r="J42" s="96" t="s">
        <v>230</v>
      </c>
      <c r="M42" s="10"/>
      <c r="P42" s="96" t="s">
        <v>169</v>
      </c>
      <c r="Q42" s="96" t="s">
        <v>1</v>
      </c>
      <c r="R42" s="96" t="s">
        <v>230</v>
      </c>
      <c r="S42" s="10"/>
      <c r="T42" s="10"/>
      <c r="U42" s="345"/>
      <c r="V42" s="343"/>
      <c r="W42" s="344"/>
      <c r="X42" s="7"/>
      <c r="Y42" s="110" t="s">
        <v>516</v>
      </c>
      <c r="Z42" s="110"/>
      <c r="AB42" s="29">
        <f ca="1">PN1_2+0</f>
        <v>0</v>
      </c>
      <c r="AC42" s="208">
        <v>2</v>
      </c>
      <c r="AD42" s="19" t="s">
        <v>291</v>
      </c>
      <c r="AE42" s="19" t="s">
        <v>109</v>
      </c>
      <c r="AF42" s="19" t="s">
        <v>346</v>
      </c>
      <c r="AG42" s="19" t="b">
        <f ca="1">_P2&gt; _2T</f>
        <v>0</v>
      </c>
      <c r="AH42" s="7" t="str">
        <f>"PN1_"&amp;AC42</f>
        <v>PN1_2</v>
      </c>
      <c r="AI42" s="45">
        <f ca="1">PN3_151+0</f>
        <v>0</v>
      </c>
      <c r="AJ42" s="7">
        <v>151</v>
      </c>
      <c r="AK42" s="125" t="s">
        <v>562</v>
      </c>
      <c r="AL42" s="125" t="s">
        <v>562</v>
      </c>
      <c r="AM42" s="7" t="s">
        <v>425</v>
      </c>
      <c r="AN42" s="7" t="b">
        <f ca="1">AND(PN2_15=TRUE,_P151+_P16+_2.01.02 &gt; _2T)</f>
        <v>0</v>
      </c>
      <c r="AO42" s="47" t="str">
        <f>"PN3_"&amp;AJ42</f>
        <v>PN3_151</v>
      </c>
      <c r="AQ42" s="84">
        <f ca="1">_PN1_20+0</f>
        <v>0</v>
      </c>
      <c r="AR42" s="85">
        <v>20</v>
      </c>
      <c r="AS42" s="85" t="s">
        <v>109</v>
      </c>
      <c r="AT42" s="85" t="s">
        <v>291</v>
      </c>
      <c r="AU42" s="86" t="s">
        <v>482</v>
      </c>
      <c r="AV42" s="85" t="b">
        <f ca="1">OR(CT_Farm_PN2=21,CT_Farm_PN2=22,CT_Farm_PN2=23)</f>
        <v>0</v>
      </c>
      <c r="AW42" s="87" t="str">
        <f>"PN1_"&amp;AR42</f>
        <v>PN1_20</v>
      </c>
      <c r="AZ42" s="222">
        <v>831</v>
      </c>
      <c r="BA42" s="223">
        <v>300.01</v>
      </c>
      <c r="BB42" s="223">
        <v>500</v>
      </c>
      <c r="BC42" s="223" t="b">
        <f ca="1">+AND(tip=AZ42,hektari&gt;=BA42,hektari&lt;=BB42,TRUE)</f>
        <v>0</v>
      </c>
      <c r="BD42" s="223">
        <v>250</v>
      </c>
    </row>
    <row r="43" spans="2:56" ht="12.75" customHeight="1" x14ac:dyDescent="0.2">
      <c r="B43" s="101" t="str">
        <f>SO!F5</f>
        <v>Konji i magarci (osim ponija)</v>
      </c>
      <c r="C43" s="95"/>
      <c r="D43" s="95"/>
      <c r="E43" s="95"/>
      <c r="F43" s="95"/>
      <c r="G43" s="17"/>
      <c r="H43" s="213"/>
      <c r="I43" s="81">
        <f ca="1">SO!G5</f>
        <v>5287</v>
      </c>
      <c r="J43" s="212">
        <f ca="1">H43*I43</f>
        <v>0</v>
      </c>
      <c r="L43" s="324">
        <f>H43*AK12</f>
        <v>0</v>
      </c>
      <c r="M43" s="102" t="str">
        <f>SO!F17</f>
        <v>Prasad (do 20 kg)</v>
      </c>
      <c r="N43" s="94"/>
      <c r="O43" s="324">
        <f>P43*AK24</f>
        <v>0</v>
      </c>
      <c r="P43" s="213"/>
      <c r="Q43" s="81">
        <f ca="1">SO!G17</f>
        <v>361</v>
      </c>
      <c r="R43" s="212">
        <f ca="1">IF(AND(P43&gt;0,P44&gt;0),"0",P43*Q43)</f>
        <v>0</v>
      </c>
      <c r="S43" s="10"/>
      <c r="T43" s="10"/>
      <c r="U43" s="129"/>
      <c r="Y43" s="82"/>
      <c r="Z43" s="82"/>
      <c r="AB43" s="29">
        <f ca="1">PN1_3+0</f>
        <v>0</v>
      </c>
      <c r="AC43" s="208">
        <v>3</v>
      </c>
      <c r="AD43" s="19" t="s">
        <v>292</v>
      </c>
      <c r="AE43" s="19" t="s">
        <v>110</v>
      </c>
      <c r="AF43" s="19" t="s">
        <v>347</v>
      </c>
      <c r="AG43" s="19" t="b">
        <f ca="1">_P3&gt;_2T</f>
        <v>0</v>
      </c>
      <c r="AH43" s="7" t="str">
        <f t="shared" ref="AH43:AH49" si="2">"PN1_"&amp;AC43</f>
        <v>PN1_3</v>
      </c>
      <c r="AI43" s="45">
        <f>PN3_152+0</f>
        <v>0</v>
      </c>
      <c r="AJ43" s="7">
        <v>152</v>
      </c>
      <c r="AK43" s="1" t="s">
        <v>578</v>
      </c>
      <c r="AL43" s="1" t="s">
        <v>578</v>
      </c>
      <c r="AM43" s="48" t="s">
        <v>459</v>
      </c>
      <c r="AN43" s="49"/>
      <c r="AO43" s="47" t="str">
        <f>"PN3_"&amp;AJ43</f>
        <v>PN3_152</v>
      </c>
      <c r="AQ43" s="84">
        <f ca="1">_PN1_30+0</f>
        <v>0</v>
      </c>
      <c r="AR43" s="85">
        <v>30</v>
      </c>
      <c r="AS43" s="85" t="s">
        <v>110</v>
      </c>
      <c r="AT43" s="85" t="s">
        <v>292</v>
      </c>
      <c r="AU43" s="86" t="s">
        <v>483</v>
      </c>
      <c r="AV43" s="85" t="b">
        <f ca="1">OR(CT_Farm_PN2=35,CT_Farm_PN2=36,CT_Farm_PN2=37,CT_Farm_PN2=38)</f>
        <v>0</v>
      </c>
      <c r="AW43" s="87" t="str">
        <f t="shared" ref="AW43:AW48" si="3">"PN1_"&amp;AR43</f>
        <v>PN1_30</v>
      </c>
      <c r="AZ43" s="222">
        <v>831</v>
      </c>
      <c r="BA43" s="223">
        <v>500.01</v>
      </c>
      <c r="BB43" s="223"/>
      <c r="BC43" s="223" t="b">
        <f ca="1">+AND(tip=AZ43,hektari&gt;=BA43,TRUE)</f>
        <v>0</v>
      </c>
      <c r="BD43" s="223">
        <v>300</v>
      </c>
    </row>
    <row r="44" spans="2:56" ht="12.75" customHeight="1" x14ac:dyDescent="0.2">
      <c r="L44" s="324"/>
      <c r="M44" s="102" t="str">
        <f>SO!F18</f>
        <v>Rasplodne krmače (teže od 50 kg)</v>
      </c>
      <c r="N44" s="94"/>
      <c r="O44" s="324">
        <f>P44*AK25</f>
        <v>0</v>
      </c>
      <c r="P44" s="213"/>
      <c r="Q44" s="81">
        <f ca="1">SO!G18</f>
        <v>1659</v>
      </c>
      <c r="R44" s="212">
        <f ca="1">P44*Q44</f>
        <v>0</v>
      </c>
      <c r="U44" s="129"/>
      <c r="Y44" s="82"/>
      <c r="Z44" s="82"/>
      <c r="AB44" s="29">
        <f ca="1">PN1_4+0</f>
        <v>0</v>
      </c>
      <c r="AC44" s="208">
        <v>4</v>
      </c>
      <c r="AD44" s="19" t="s">
        <v>293</v>
      </c>
      <c r="AE44" s="19" t="s">
        <v>111</v>
      </c>
      <c r="AF44" s="19" t="s">
        <v>348</v>
      </c>
      <c r="AG44" s="19" t="b">
        <f ca="1">_P4&gt;_2T</f>
        <v>0</v>
      </c>
      <c r="AH44" s="7" t="str">
        <f t="shared" si="2"/>
        <v>PN1_4</v>
      </c>
      <c r="AI44" s="45">
        <f ca="1">PN3_153+0</f>
        <v>0</v>
      </c>
      <c r="AJ44" s="7">
        <v>153</v>
      </c>
      <c r="AK44" s="125" t="s">
        <v>563</v>
      </c>
      <c r="AL44" s="125" t="s">
        <v>563</v>
      </c>
      <c r="AM44" s="7" t="s">
        <v>641</v>
      </c>
      <c r="AN44" s="7" t="b">
        <f ca="1">AND(PN2_15=TRUE,PN3_151=FALSE)</f>
        <v>0</v>
      </c>
      <c r="AO44" s="47" t="str">
        <f>"PN3_"&amp;AJ44</f>
        <v>PN3_153</v>
      </c>
      <c r="AQ44" s="84">
        <f ca="1">_PN1_40+0</f>
        <v>0</v>
      </c>
      <c r="AR44" s="85">
        <v>40</v>
      </c>
      <c r="AS44" s="85" t="s">
        <v>111</v>
      </c>
      <c r="AT44" s="85" t="s">
        <v>293</v>
      </c>
      <c r="AU44" s="86" t="s">
        <v>484</v>
      </c>
      <c r="AV44" s="85" t="b">
        <f ca="1">OR(CT_Farm_PN2=45)</f>
        <v>0</v>
      </c>
      <c r="AW44" s="87" t="str">
        <f t="shared" si="3"/>
        <v>PN1_40</v>
      </c>
      <c r="AZ44" s="222">
        <v>833</v>
      </c>
      <c r="BA44" s="223">
        <v>0</v>
      </c>
      <c r="BB44" s="223">
        <v>10</v>
      </c>
      <c r="BC44" s="223" t="b">
        <f ca="1">+AND(tip=AZ44,hektari&gt;=BA44,hektari&lt;=BB44,TRUE)</f>
        <v>0</v>
      </c>
      <c r="BD44" s="223">
        <v>70</v>
      </c>
    </row>
    <row r="45" spans="2:56" ht="12.75" customHeight="1" x14ac:dyDescent="0.2">
      <c r="B45" s="180" t="s">
        <v>510</v>
      </c>
      <c r="L45" s="324"/>
      <c r="M45" s="102" t="str">
        <f>SO!F20</f>
        <v>Ostale svinje (za tov)</v>
      </c>
      <c r="N45" s="94"/>
      <c r="O45" s="324">
        <f>P45*AK27</f>
        <v>0</v>
      </c>
      <c r="P45" s="213"/>
      <c r="Q45" s="81">
        <f ca="1">SO!G20</f>
        <v>2329.2935389999998</v>
      </c>
      <c r="R45" s="212">
        <f ca="1">P45*Q45</f>
        <v>0</v>
      </c>
      <c r="U45" s="129"/>
      <c r="Y45" s="82"/>
      <c r="Z45" s="82"/>
      <c r="AB45" s="29">
        <f ca="1">PN1_5+0</f>
        <v>0</v>
      </c>
      <c r="AC45" s="208">
        <v>5</v>
      </c>
      <c r="AD45" s="19" t="s">
        <v>294</v>
      </c>
      <c r="AE45" s="19" t="s">
        <v>112</v>
      </c>
      <c r="AF45" s="19" t="s">
        <v>349</v>
      </c>
      <c r="AG45" s="19" t="b">
        <f ca="1">_P5&gt;_2T</f>
        <v>0</v>
      </c>
      <c r="AH45" s="7" t="str">
        <f t="shared" si="2"/>
        <v>PN1_5</v>
      </c>
      <c r="AI45" s="45">
        <f ca="1">_PN3_161+0</f>
        <v>0</v>
      </c>
      <c r="AJ45" s="7">
        <v>161</v>
      </c>
      <c r="AK45" s="125" t="s">
        <v>564</v>
      </c>
      <c r="AL45" s="125" t="s">
        <v>564</v>
      </c>
      <c r="AM45" s="7" t="s">
        <v>426</v>
      </c>
      <c r="AN45" s="7" t="b">
        <f ca="1">AND(PN2_16=TRUE,_P17&gt;_2T)</f>
        <v>0</v>
      </c>
      <c r="AO45" s="47" t="str">
        <f t="shared" ref="AO45:AO50" si="4">"PN3_"&amp;AJ45</f>
        <v>PN3_161</v>
      </c>
      <c r="AQ45" s="84">
        <f ca="1">_PN1_50+0</f>
        <v>0</v>
      </c>
      <c r="AR45" s="85">
        <v>50</v>
      </c>
      <c r="AS45" s="85" t="s">
        <v>112</v>
      </c>
      <c r="AT45" s="85" t="s">
        <v>294</v>
      </c>
      <c r="AU45" s="86" t="s">
        <v>485</v>
      </c>
      <c r="AV45" s="85" t="b">
        <f ca="1">OR(CT_Farm_PN2=46,CT_Farm_PN2=47,CT_Farm_PN2=48,CT_Farm_PN2=73)</f>
        <v>0</v>
      </c>
      <c r="AW45" s="87" t="str">
        <f t="shared" si="3"/>
        <v>PN1_50</v>
      </c>
      <c r="AZ45" s="222">
        <v>833</v>
      </c>
      <c r="BA45" s="223">
        <v>10.01</v>
      </c>
      <c r="BB45" s="223">
        <v>50</v>
      </c>
      <c r="BC45" s="223" t="b">
        <f ca="1">+AND(tip=AZ45,hektari&gt;=BA45,hektari&lt;=BB45,TRUE)</f>
        <v>0</v>
      </c>
      <c r="BD45" s="223">
        <v>110</v>
      </c>
    </row>
    <row r="46" spans="2:56" ht="12.75" customHeight="1" x14ac:dyDescent="0.2">
      <c r="H46" s="96" t="s">
        <v>169</v>
      </c>
      <c r="I46" s="96" t="s">
        <v>1</v>
      </c>
      <c r="J46" s="96" t="s">
        <v>230</v>
      </c>
      <c r="L46" s="324"/>
      <c r="M46" s="263"/>
      <c r="N46" s="264"/>
      <c r="O46" s="324">
        <f>P46*AK27</f>
        <v>0</v>
      </c>
      <c r="P46" s="266"/>
      <c r="Q46" s="265"/>
      <c r="S46" s="105">
        <f ca="1">_3.04.99_A+_3.04.99_B</f>
        <v>0</v>
      </c>
      <c r="U46" s="130" t="s">
        <v>622</v>
      </c>
      <c r="V46" s="341">
        <f>SUM(H43,H47:H53,H57:H58,H62:H63,P43:P45,P64)</f>
        <v>0</v>
      </c>
      <c r="W46" s="342"/>
      <c r="X46" s="97"/>
      <c r="Y46" s="82"/>
      <c r="Z46" s="82"/>
      <c r="AB46" s="29">
        <f ca="1">PN1_6+0</f>
        <v>0</v>
      </c>
      <c r="AC46" s="208">
        <v>6</v>
      </c>
      <c r="AD46" s="19" t="s">
        <v>295</v>
      </c>
      <c r="AE46" s="19" t="s">
        <v>113</v>
      </c>
      <c r="AF46" s="19" t="s">
        <v>350</v>
      </c>
      <c r="AG46" s="19" t="b">
        <f ca="1">AND( (_P1+_P2+_P3)&gt;_2T,_P1&lt;=_2T,_P2&lt;=_2T,_P3&lt;=_2T)</f>
        <v>0</v>
      </c>
      <c r="AH46" s="7" t="str">
        <f t="shared" si="2"/>
        <v>PN1_6</v>
      </c>
      <c r="AI46" s="45">
        <f ca="1">_PN3_162+0</f>
        <v>0</v>
      </c>
      <c r="AJ46" s="7">
        <v>162</v>
      </c>
      <c r="AK46" s="125" t="s">
        <v>565</v>
      </c>
      <c r="AL46" s="125" t="s">
        <v>565</v>
      </c>
      <c r="AM46" s="7" t="s">
        <v>427</v>
      </c>
      <c r="AN46" s="7" t="b">
        <f ca="1">AND(PN2_16=TRUE,AND((_P15+_P16+_2.01.02)&gt;_1T,_P17&gt;_1T))</f>
        <v>0</v>
      </c>
      <c r="AO46" s="47" t="str">
        <f t="shared" si="4"/>
        <v>PN3_162</v>
      </c>
      <c r="AQ46" s="84">
        <f ca="1">_PN1_60+0</f>
        <v>0</v>
      </c>
      <c r="AR46" s="85">
        <v>60</v>
      </c>
      <c r="AS46" s="85" t="s">
        <v>113</v>
      </c>
      <c r="AT46" s="85" t="s">
        <v>295</v>
      </c>
      <c r="AU46" s="86" t="s">
        <v>486</v>
      </c>
      <c r="AV46" s="85" t="b">
        <f ca="1">OR(CT_Farm_PN2=51,CT_Farm_PN2=52,CT_Farm_PN2=53,CT_Farm_PN2=74)</f>
        <v>0</v>
      </c>
      <c r="AW46" s="87" t="str">
        <f>"PN1_"&amp;AR46</f>
        <v>PN1_60</v>
      </c>
      <c r="AZ46" s="222">
        <v>833</v>
      </c>
      <c r="BA46" s="223">
        <v>50.01</v>
      </c>
      <c r="BB46" s="223">
        <v>100</v>
      </c>
      <c r="BC46" s="223" t="b">
        <f ca="1">+AND(tip=AZ46,hektari&gt;=BA46,hektari&lt;=BB46,TRUE)</f>
        <v>0</v>
      </c>
      <c r="BD46" s="223">
        <v>150</v>
      </c>
    </row>
    <row r="47" spans="2:56" ht="12.75" customHeight="1" x14ac:dyDescent="0.2">
      <c r="B47" s="101" t="str">
        <f>SO!F6</f>
        <v>Telad &lt; 1 godine</v>
      </c>
      <c r="C47" s="95"/>
      <c r="D47" s="95"/>
      <c r="E47" s="95"/>
      <c r="F47" s="95"/>
      <c r="G47" s="17"/>
      <c r="H47" s="213"/>
      <c r="I47" s="81">
        <f ca="1">SO!G6</f>
        <v>9234.1198800000002</v>
      </c>
      <c r="J47" s="234">
        <f ca="1">IF(AND(_3.02.01="0",H47&lt;&gt;""),"0",H47*I47)</f>
        <v>0</v>
      </c>
      <c r="K47" s="106" t="str">
        <f>IF(H47&gt;(H52+H53),(H47-H52-H53)*I47,"0")</f>
        <v>0</v>
      </c>
      <c r="L47" s="324">
        <f t="shared" ref="L47:L53" si="5">H47*AK13</f>
        <v>0</v>
      </c>
      <c r="O47" s="324"/>
      <c r="U47" s="129"/>
      <c r="V47" s="343"/>
      <c r="W47" s="344"/>
      <c r="X47" s="7"/>
      <c r="Y47" s="110" t="s">
        <v>517</v>
      </c>
      <c r="Z47" s="110"/>
      <c r="AB47" s="29">
        <f ca="1">PN1_7+0</f>
        <v>0</v>
      </c>
      <c r="AC47" s="208">
        <v>7</v>
      </c>
      <c r="AD47" s="19" t="s">
        <v>296</v>
      </c>
      <c r="AE47" s="19" t="s">
        <v>114</v>
      </c>
      <c r="AF47" s="169" t="s">
        <v>351</v>
      </c>
      <c r="AG47" s="169" t="b">
        <f ca="1">IF(AND(_P4+_P5&gt;_2T,_P4&lt;=_2T,_P5&lt;=_2T),TRUE,FALSE)</f>
        <v>0</v>
      </c>
      <c r="AH47" s="7" t="str">
        <f t="shared" si="2"/>
        <v>PN1_7</v>
      </c>
      <c r="AI47" s="45">
        <f ca="1">_PN3_163+0</f>
        <v>0</v>
      </c>
      <c r="AJ47" s="7">
        <v>163</v>
      </c>
      <c r="AK47" s="125" t="s">
        <v>566</v>
      </c>
      <c r="AL47" s="125" t="s">
        <v>566</v>
      </c>
      <c r="AM47" s="7" t="s">
        <v>428</v>
      </c>
      <c r="AN47" s="7" t="b">
        <f ca="1">AND(PN2_16=TRUE,_2.01.07.01.01&gt;_2T)</f>
        <v>0</v>
      </c>
      <c r="AO47" s="47" t="str">
        <f t="shared" si="4"/>
        <v>PN3_163</v>
      </c>
      <c r="AQ47" s="84">
        <f ca="1">_PN1_70+0</f>
        <v>0</v>
      </c>
      <c r="AR47" s="85">
        <v>70</v>
      </c>
      <c r="AS47" s="85" t="s">
        <v>114</v>
      </c>
      <c r="AT47" s="85" t="s">
        <v>296</v>
      </c>
      <c r="AU47" s="86" t="s">
        <v>487</v>
      </c>
      <c r="AV47" s="85" t="b">
        <f ca="1">OR(CT_Farm_PN2=61,CT_Farm_PN2=83,CT_Farm_PN2=84)</f>
        <v>0</v>
      </c>
      <c r="AW47" s="87" t="str">
        <f t="shared" si="3"/>
        <v>PN1_70</v>
      </c>
      <c r="AZ47" s="222">
        <v>833</v>
      </c>
      <c r="BA47" s="223">
        <v>100.01</v>
      </c>
      <c r="BB47" s="223">
        <v>300</v>
      </c>
      <c r="BC47" s="223" t="b">
        <f ca="1">+AND(tip=AZ47,hektari&gt;=BA47,hektari&lt;=BB47,TRUE)</f>
        <v>0</v>
      </c>
      <c r="BD47" s="223">
        <v>200</v>
      </c>
    </row>
    <row r="48" spans="2:56" ht="12.75" customHeight="1" x14ac:dyDescent="0.2">
      <c r="B48" s="101" t="str">
        <f>SO!F7</f>
        <v>Junad 1 - 2 godine</v>
      </c>
      <c r="C48" s="95"/>
      <c r="D48" s="95"/>
      <c r="E48" s="95"/>
      <c r="F48" s="95"/>
      <c r="G48" s="17"/>
      <c r="H48" s="213"/>
      <c r="I48" s="81">
        <f ca="1">SO!G7</f>
        <v>7678.5980980000004</v>
      </c>
      <c r="J48" s="212">
        <f t="shared" ref="J48:J53" ca="1" si="6">H48*I48</f>
        <v>0</v>
      </c>
      <c r="L48" s="324">
        <f t="shared" si="5"/>
        <v>0</v>
      </c>
      <c r="M48" s="180" t="s">
        <v>514</v>
      </c>
      <c r="O48" s="324"/>
      <c r="U48" s="129"/>
      <c r="Y48" s="82"/>
      <c r="Z48" s="82"/>
      <c r="AB48" s="29">
        <f ca="1">PN1_8+0</f>
        <v>0</v>
      </c>
      <c r="AC48" s="208">
        <v>8</v>
      </c>
      <c r="AD48" s="19" t="s">
        <v>297</v>
      </c>
      <c r="AE48" s="19" t="s">
        <v>115</v>
      </c>
      <c r="AF48" s="19" t="s">
        <v>352</v>
      </c>
      <c r="AG48" s="19" t="b">
        <f ca="1">IF(AND(AG41=FALSE,AG42=FALSE,AG43=FALSE,AG44=FALSE,AG45=FALSE,AG46=FALSE,AG47=FALSE),IF(TSO=0,FALSE,TRUE))</f>
        <v>0</v>
      </c>
      <c r="AH48" s="7" t="str">
        <f t="shared" si="2"/>
        <v>PN1_8</v>
      </c>
      <c r="AI48" s="45">
        <f ca="1">_PN3_164+0</f>
        <v>0</v>
      </c>
      <c r="AJ48" s="7">
        <v>164</v>
      </c>
      <c r="AK48" s="125" t="s">
        <v>567</v>
      </c>
      <c r="AL48" s="125" t="s">
        <v>567</v>
      </c>
      <c r="AM48" s="7" t="s">
        <v>429</v>
      </c>
      <c r="AN48" s="7" t="b">
        <f ca="1">AND(PN2_16=TRUE,_2.01.06.01&gt;_2T)</f>
        <v>0</v>
      </c>
      <c r="AO48" s="47" t="str">
        <f t="shared" si="4"/>
        <v>PN3_164</v>
      </c>
      <c r="AQ48" s="84">
        <f ca="1">_PN1_90+0</f>
        <v>1</v>
      </c>
      <c r="AR48" s="85">
        <v>90</v>
      </c>
      <c r="AS48" s="85" t="s">
        <v>115</v>
      </c>
      <c r="AT48" s="85" t="s">
        <v>297</v>
      </c>
      <c r="AU48" s="86" t="s">
        <v>495</v>
      </c>
      <c r="AV48" s="85" t="b">
        <f ca="1">OR(CT_Farm_PN2=90)</f>
        <v>1</v>
      </c>
      <c r="AW48" s="87" t="str">
        <f t="shared" si="3"/>
        <v>PN1_90</v>
      </c>
      <c r="AZ48" s="222">
        <v>833</v>
      </c>
      <c r="BA48" s="223">
        <v>300.01</v>
      </c>
      <c r="BB48" s="223">
        <v>500</v>
      </c>
      <c r="BC48" s="223" t="b">
        <f ca="1">+AND(tip=AZ48,hektari&gt;=BA48,hektari&lt;=BB48,TRUE)</f>
        <v>0</v>
      </c>
      <c r="BD48" s="223">
        <v>250</v>
      </c>
    </row>
    <row r="49" spans="2:56" ht="12.75" customHeight="1" thickBot="1" x14ac:dyDescent="0.25">
      <c r="B49" s="101" t="str">
        <f>SO!F8</f>
        <v>Junice 1 - 2 godine</v>
      </c>
      <c r="C49" s="95"/>
      <c r="D49" s="95"/>
      <c r="E49" s="95"/>
      <c r="F49" s="95"/>
      <c r="G49" s="17"/>
      <c r="H49" s="213"/>
      <c r="I49" s="81">
        <f ca="1">SO!G8</f>
        <v>5648.5367690000003</v>
      </c>
      <c r="J49" s="212">
        <f t="shared" ca="1" si="6"/>
        <v>0</v>
      </c>
      <c r="L49" s="324">
        <f t="shared" si="5"/>
        <v>0</v>
      </c>
      <c r="O49" s="324"/>
      <c r="P49" s="96" t="s">
        <v>168</v>
      </c>
      <c r="Q49" s="96" t="s">
        <v>1</v>
      </c>
      <c r="R49" s="96" t="s">
        <v>230</v>
      </c>
      <c r="U49" s="129"/>
      <c r="V49" s="341">
        <f>SUM(P50:P52)</f>
        <v>0</v>
      </c>
      <c r="W49" s="342"/>
      <c r="X49" s="7"/>
      <c r="Y49" s="110"/>
      <c r="Z49" s="110"/>
      <c r="AB49" s="31">
        <f ca="1">PN1_9+0</f>
        <v>1</v>
      </c>
      <c r="AC49" s="209">
        <v>9</v>
      </c>
      <c r="AD49" s="32" t="s">
        <v>298</v>
      </c>
      <c r="AE49" s="32" t="s">
        <v>107</v>
      </c>
      <c r="AF49" s="33" t="s">
        <v>353</v>
      </c>
      <c r="AG49" s="32" t="b">
        <f ca="1">TSO=0</f>
        <v>1</v>
      </c>
      <c r="AH49" s="40" t="str">
        <f t="shared" si="2"/>
        <v>PN1_9</v>
      </c>
      <c r="AI49" s="45">
        <f>_PN3_165+0</f>
        <v>0</v>
      </c>
      <c r="AJ49" s="7">
        <v>165</v>
      </c>
      <c r="AK49" s="1" t="s">
        <v>579</v>
      </c>
      <c r="AL49" s="1" t="s">
        <v>579</v>
      </c>
      <c r="AM49" s="48" t="s">
        <v>459</v>
      </c>
      <c r="AN49" s="49"/>
      <c r="AO49" s="47" t="str">
        <f t="shared" si="4"/>
        <v>PN3_165</v>
      </c>
      <c r="AQ49" s="31"/>
      <c r="AR49" s="32"/>
      <c r="AS49" s="32"/>
      <c r="AT49" s="32"/>
      <c r="AU49" s="33"/>
      <c r="AV49" s="32"/>
      <c r="AW49" s="40"/>
      <c r="AZ49" s="222">
        <v>833</v>
      </c>
      <c r="BA49" s="223">
        <v>500.01</v>
      </c>
      <c r="BB49" s="223"/>
      <c r="BC49" s="223" t="b">
        <f ca="1">+AND(tip=AZ49,hektari&gt;=BA49,TRUE)</f>
        <v>0</v>
      </c>
      <c r="BD49" s="223">
        <v>300</v>
      </c>
    </row>
    <row r="50" spans="2:56" ht="12.75" customHeight="1" thickTop="1" x14ac:dyDescent="0.2">
      <c r="B50" s="101" t="str">
        <f>SO!F9</f>
        <v>Junad &gt; 2 godine (uklj. bikove)</v>
      </c>
      <c r="C50" s="95"/>
      <c r="D50" s="95"/>
      <c r="E50" s="95"/>
      <c r="F50" s="95"/>
      <c r="G50" s="17"/>
      <c r="H50" s="213"/>
      <c r="I50" s="81">
        <f ca="1">SO!G9</f>
        <v>8926.6661679999997</v>
      </c>
      <c r="J50" s="212">
        <f t="shared" ca="1" si="6"/>
        <v>0</v>
      </c>
      <c r="L50" s="324">
        <f t="shared" si="5"/>
        <v>0</v>
      </c>
      <c r="M50" s="102" t="str">
        <f>SO!F21</f>
        <v>Pilići u tovu (brojleri)</v>
      </c>
      <c r="N50" s="94"/>
      <c r="O50" s="324">
        <f>P50*AK28</f>
        <v>0</v>
      </c>
      <c r="P50" s="213"/>
      <c r="Q50" s="81">
        <f ca="1">SO!G21</f>
        <v>3346</v>
      </c>
      <c r="R50" s="212">
        <f ca="1">(P50*Q50)/100</f>
        <v>0</v>
      </c>
      <c r="U50" s="129"/>
      <c r="V50" s="343"/>
      <c r="W50" s="344"/>
      <c r="X50" s="97"/>
      <c r="Y50" s="110" t="s">
        <v>553</v>
      </c>
      <c r="Z50" s="110"/>
      <c r="AI50" s="45">
        <f ca="1">_PN3_166+0</f>
        <v>0</v>
      </c>
      <c r="AJ50" s="7">
        <v>166</v>
      </c>
      <c r="AK50" s="125" t="s">
        <v>568</v>
      </c>
      <c r="AL50" s="125" t="s">
        <v>568</v>
      </c>
      <c r="AM50" s="7" t="s">
        <v>430</v>
      </c>
      <c r="AN50" s="7" t="b">
        <f ca="1">AND(PN2_16=TRUE,_PN3_161=FALSE,_PN3_162=FALSE,_PN3_163=FALSE,_PN3_164=FALSE)</f>
        <v>0</v>
      </c>
      <c r="AO50" s="47" t="str">
        <f t="shared" si="4"/>
        <v>PN3_166</v>
      </c>
      <c r="AZ50" s="222">
        <v>841</v>
      </c>
      <c r="BA50" s="223">
        <v>0</v>
      </c>
      <c r="BB50" s="223">
        <v>10</v>
      </c>
      <c r="BC50" s="223" t="b">
        <f ca="1">+AND(tip=AZ50,hektari&gt;=BA50,hektari&lt;=BB50,TRUE)</f>
        <v>0</v>
      </c>
      <c r="BD50" s="223">
        <v>70</v>
      </c>
    </row>
    <row r="51" spans="2:56" ht="12.75" customHeight="1" x14ac:dyDescent="0.2">
      <c r="B51" s="101" t="str">
        <f>SO!F10</f>
        <v>Junice &gt; 2 godine</v>
      </c>
      <c r="C51" s="95"/>
      <c r="D51" s="95"/>
      <c r="E51" s="95"/>
      <c r="F51" s="95"/>
      <c r="G51" s="17"/>
      <c r="H51" s="213"/>
      <c r="I51" s="81">
        <f ca="1">SO!G10</f>
        <v>5752.5312839999997</v>
      </c>
      <c r="J51" s="212">
        <f t="shared" ca="1" si="6"/>
        <v>0</v>
      </c>
      <c r="L51" s="324">
        <f t="shared" si="5"/>
        <v>0</v>
      </c>
      <c r="M51" s="102" t="str">
        <f>SO!F22</f>
        <v>Kokoši (nesilice i pijetlovi)</v>
      </c>
      <c r="N51" s="94"/>
      <c r="O51" s="324">
        <f>P51*AK29</f>
        <v>0</v>
      </c>
      <c r="P51" s="213"/>
      <c r="Q51" s="81">
        <f ca="1">SO!G22</f>
        <v>12321</v>
      </c>
      <c r="R51" s="212">
        <f ca="1">(P51*Q51)/100</f>
        <v>0</v>
      </c>
      <c r="U51" s="129"/>
      <c r="Y51" s="82"/>
      <c r="Z51" s="82"/>
      <c r="AI51" s="45">
        <f ca="1">_PN3_211+0</f>
        <v>0</v>
      </c>
      <c r="AJ51" s="7">
        <v>211</v>
      </c>
      <c r="AK51" s="125" t="s">
        <v>569</v>
      </c>
      <c r="AL51" s="125" t="s">
        <v>569</v>
      </c>
      <c r="AM51" s="7" t="s">
        <v>431</v>
      </c>
      <c r="AN51" s="7" t="b">
        <f ca="1">AND(PN2_21=TRUE,_2.01.07.02&gt;_2T)</f>
        <v>0</v>
      </c>
      <c r="AO51" s="47" t="str">
        <f t="shared" ref="AO51:AO82" si="7">"PN3_"&amp;AJ51</f>
        <v>PN3_211</v>
      </c>
      <c r="AZ51" s="222">
        <v>841</v>
      </c>
      <c r="BA51" s="223">
        <v>10.01</v>
      </c>
      <c r="BB51" s="223">
        <v>50</v>
      </c>
      <c r="BC51" s="223" t="b">
        <f ca="1">+AND(tip=AZ51,hektari&gt;=BA51,hektari&lt;=BB51,TRUE)</f>
        <v>0</v>
      </c>
      <c r="BD51" s="223">
        <v>110</v>
      </c>
    </row>
    <row r="52" spans="2:56" ht="12.75" customHeight="1" thickBot="1" x14ac:dyDescent="0.25">
      <c r="B52" s="101" t="str">
        <f>SO!F11</f>
        <v>Mliječne krave</v>
      </c>
      <c r="C52" s="95"/>
      <c r="D52" s="95"/>
      <c r="E52" s="95"/>
      <c r="F52" s="95"/>
      <c r="G52" s="17"/>
      <c r="H52" s="213"/>
      <c r="I52" s="81">
        <f ca="1">SO!G11</f>
        <v>16694.745780000001</v>
      </c>
      <c r="J52" s="212">
        <f t="shared" ca="1" si="6"/>
        <v>0</v>
      </c>
      <c r="L52" s="324">
        <f t="shared" si="5"/>
        <v>0</v>
      </c>
      <c r="M52" s="102" t="str">
        <f>SO!F23</f>
        <v>Ostala perad (purani, patke, guske i ostalo)</v>
      </c>
      <c r="N52" s="94"/>
      <c r="O52" s="324">
        <f>P52*AK30</f>
        <v>0</v>
      </c>
      <c r="P52" s="213"/>
      <c r="Q52" s="81">
        <f ca="1">SO!G23</f>
        <v>3921</v>
      </c>
      <c r="R52" s="212">
        <f ca="1">(P52*Q52)/100</f>
        <v>0</v>
      </c>
      <c r="U52" s="129"/>
      <c r="V52" s="341">
        <f>P56</f>
        <v>0</v>
      </c>
      <c r="W52" s="342"/>
      <c r="X52" s="7"/>
      <c r="Y52" s="110"/>
      <c r="Z52" s="110"/>
      <c r="AI52" s="45">
        <f ca="1">_PN3_212+0</f>
        <v>0</v>
      </c>
      <c r="AJ52" s="7">
        <v>212</v>
      </c>
      <c r="AK52" s="125" t="s">
        <v>570</v>
      </c>
      <c r="AL52" s="125" t="s">
        <v>570</v>
      </c>
      <c r="AM52" s="7" t="s">
        <v>432</v>
      </c>
      <c r="AN52" s="7" t="b">
        <f ca="1">AND(PN2_21=TRUE,_2.01.08.02&gt;_2T)</f>
        <v>0</v>
      </c>
      <c r="AO52" s="47" t="str">
        <f t="shared" si="7"/>
        <v>PN3_212</v>
      </c>
      <c r="AZ52" s="222">
        <v>841</v>
      </c>
      <c r="BA52" s="223">
        <v>50.01</v>
      </c>
      <c r="BB52" s="223">
        <v>100</v>
      </c>
      <c r="BC52" s="223" t="b">
        <f ca="1">+AND(tip=AZ52,hektari&gt;=BA52,hektari&lt;=BB52,TRUE)</f>
        <v>0</v>
      </c>
      <c r="BD52" s="223">
        <v>150</v>
      </c>
    </row>
    <row r="53" spans="2:56" ht="12.75" customHeight="1" thickTop="1" x14ac:dyDescent="0.2">
      <c r="B53" s="101" t="str">
        <f>SO!F12</f>
        <v>Ostala goveda (krave u sustavu krava - tele, radne krave)</v>
      </c>
      <c r="C53" s="95"/>
      <c r="D53" s="95"/>
      <c r="E53" s="95"/>
      <c r="F53" s="95"/>
      <c r="G53" s="17"/>
      <c r="H53" s="213"/>
      <c r="I53" s="81">
        <f ca="1">SO!G12</f>
        <v>6420.0634879999998</v>
      </c>
      <c r="J53" s="212">
        <f t="shared" ca="1" si="6"/>
        <v>0</v>
      </c>
      <c r="L53" s="324">
        <f t="shared" si="5"/>
        <v>0</v>
      </c>
      <c r="O53" s="324"/>
      <c r="U53" s="129"/>
      <c r="V53" s="343"/>
      <c r="W53" s="344"/>
      <c r="Y53" s="110" t="s">
        <v>518</v>
      </c>
      <c r="Z53" s="110"/>
      <c r="AB53" s="34"/>
      <c r="AC53" s="35"/>
      <c r="AD53" s="35"/>
      <c r="AE53" s="36">
        <f ca="1">VLOOKUP(1,_PN2,2,FALSE)</f>
        <v>90</v>
      </c>
      <c r="AF53" s="83">
        <f ca="1">IF(OR(CT_Farm_PN2=15,CT_Farm_PN2=16),10,IF(OR(CT_Farm_PN2=21,CT_Farm_PN2=22,CT_Farm_PN2=23),20,IF(OR(CT_Farm_PN2=35,CT_Farm_PN2=36,CT_Farm_PN2=37,CT_Farm_PN2=38),30,IF(CT_Farm_PN2=45,40,IF(OR(CT_Farm_PN2=46,CT_Farm_PN2=47,CT_Farm_PN2=48,CT_Farm_PN2=73),50,IF(OR(CT_Farm_PN2=51,CT_Farm_PN2=52,CT_Farm_PN2=53,CT_Farm_PN2=74),60,IF(OR(CT_Farm_PN2=61,CT_Farm_PN2=83,CT_Farm_PN2=84),70,90)))))))</f>
        <v>90</v>
      </c>
      <c r="AG53" s="35"/>
      <c r="AH53" s="35"/>
      <c r="AI53" s="45">
        <f ca="1">_PN3_213+0</f>
        <v>0</v>
      </c>
      <c r="AJ53" s="7">
        <v>213</v>
      </c>
      <c r="AK53" s="125" t="s">
        <v>571</v>
      </c>
      <c r="AL53" s="125" t="s">
        <v>571</v>
      </c>
      <c r="AM53" s="7" t="s">
        <v>433</v>
      </c>
      <c r="AN53" s="7" t="b">
        <f ca="1">AND(PN2_21=TRUE,_PN3_211=FALSE,_PN3_212=FALSE)</f>
        <v>0</v>
      </c>
      <c r="AO53" s="47" t="str">
        <f t="shared" si="7"/>
        <v>PN3_213</v>
      </c>
      <c r="AZ53" s="222">
        <v>841</v>
      </c>
      <c r="BA53" s="223">
        <v>100.01</v>
      </c>
      <c r="BB53" s="223">
        <v>300</v>
      </c>
      <c r="BC53" s="223" t="b">
        <f ca="1">+AND(tip=AZ53,hektari&gt;=BA53,hektari&lt;=BB53,TRUE)</f>
        <v>0</v>
      </c>
      <c r="BD53" s="223">
        <v>200</v>
      </c>
    </row>
    <row r="54" spans="2:56" ht="12.75" customHeight="1" x14ac:dyDescent="0.2">
      <c r="L54" s="324"/>
      <c r="M54" s="180" t="s">
        <v>515</v>
      </c>
      <c r="O54" s="324"/>
      <c r="U54" s="129"/>
      <c r="Y54" s="82"/>
      <c r="Z54" s="82"/>
      <c r="AB54" s="37"/>
      <c r="AC54" s="7"/>
      <c r="AD54" s="7"/>
      <c r="AE54" s="2" t="str">
        <f ca="1">VLOOKUP(1,_PN2,IF(Langue = "FR",4,IF(Langue = "EN", 3, 5)),FALSE)</f>
        <v>Neklasificirana poljoprivredna gospodarstva</v>
      </c>
      <c r="AF54" s="7"/>
      <c r="AG54" s="7"/>
      <c r="AH54" s="7"/>
      <c r="AI54" s="45">
        <f ca="1">_PN3_221+0</f>
        <v>0</v>
      </c>
      <c r="AJ54" s="7">
        <v>221</v>
      </c>
      <c r="AK54" s="125" t="s">
        <v>572</v>
      </c>
      <c r="AL54" s="125" t="s">
        <v>572</v>
      </c>
      <c r="AM54" s="7" t="s">
        <v>434</v>
      </c>
      <c r="AN54" s="7" t="b">
        <f ca="1">AND(PN2_22=TRUE,_2.01.07.01.02&gt;_2T)</f>
        <v>0</v>
      </c>
      <c r="AO54" s="47" t="str">
        <f t="shared" si="7"/>
        <v>PN3_221</v>
      </c>
      <c r="AZ54" s="222">
        <v>841</v>
      </c>
      <c r="BA54" s="223">
        <v>300.01</v>
      </c>
      <c r="BB54" s="223">
        <v>500</v>
      </c>
      <c r="BC54" s="223" t="b">
        <f ca="1">+AND(tip=AZ54,hektari&gt;=BA54,hektari&lt;=BB54,TRUE)</f>
        <v>0</v>
      </c>
      <c r="BD54" s="223">
        <v>250</v>
      </c>
    </row>
    <row r="55" spans="2:56" ht="12.75" customHeight="1" x14ac:dyDescent="0.2">
      <c r="B55" s="180" t="s">
        <v>511</v>
      </c>
      <c r="L55" s="324"/>
      <c r="O55" s="324"/>
      <c r="P55" s="96" t="s">
        <v>170</v>
      </c>
      <c r="Q55" s="96" t="s">
        <v>1</v>
      </c>
      <c r="R55" s="96" t="s">
        <v>230</v>
      </c>
      <c r="U55" s="129"/>
      <c r="V55" s="341" t="str">
        <f>IF(OR(ISERROR(W57))," ",W57)</f>
        <v xml:space="preserve"> </v>
      </c>
      <c r="W55" s="342"/>
      <c r="Y55" s="82"/>
      <c r="Z55" s="82"/>
      <c r="AB55" s="37"/>
      <c r="AC55" s="7"/>
      <c r="AD55" s="7"/>
      <c r="AE55" s="7"/>
      <c r="AF55" s="7"/>
      <c r="AG55" s="7"/>
      <c r="AH55" s="7"/>
      <c r="AI55" s="45">
        <f ca="1">_PN3_222+0</f>
        <v>0</v>
      </c>
      <c r="AJ55" s="7">
        <v>222</v>
      </c>
      <c r="AK55" s="125" t="s">
        <v>573</v>
      </c>
      <c r="AL55" s="125" t="s">
        <v>573</v>
      </c>
      <c r="AM55" s="7" t="s">
        <v>435</v>
      </c>
      <c r="AN55" s="7" t="b">
        <f ca="1">AND(PN2_22=TRUE,_2.01.08.01&gt;_2T)</f>
        <v>0</v>
      </c>
      <c r="AO55" s="47" t="str">
        <f t="shared" si="7"/>
        <v>PN3_222</v>
      </c>
      <c r="AZ55" s="222">
        <v>841</v>
      </c>
      <c r="BA55" s="223">
        <v>500.01</v>
      </c>
      <c r="BB55" s="223"/>
      <c r="BC55" s="223" t="b">
        <f ca="1">+AND(tip=AZ55,hektari&gt;=BA55,TRUE)</f>
        <v>0</v>
      </c>
      <c r="BD55" s="223">
        <v>300</v>
      </c>
    </row>
    <row r="56" spans="2:56" ht="12.75" customHeight="1" x14ac:dyDescent="0.2">
      <c r="H56" s="96" t="s">
        <v>169</v>
      </c>
      <c r="I56" s="96" t="s">
        <v>1</v>
      </c>
      <c r="J56" s="96" t="s">
        <v>230</v>
      </c>
      <c r="L56" s="324"/>
      <c r="M56" s="102" t="str">
        <f>SO!F24</f>
        <v>Pčelinje zajednice</v>
      </c>
      <c r="N56" s="94"/>
      <c r="O56" s="324"/>
      <c r="P56" s="213"/>
      <c r="Q56" s="123">
        <f ca="1">SO!G24</f>
        <v>511</v>
      </c>
      <c r="R56" s="212">
        <f ca="1">P56*Q56</f>
        <v>0</v>
      </c>
      <c r="U56" s="129"/>
      <c r="V56" s="343"/>
      <c r="W56" s="344"/>
      <c r="Y56" s="82" t="s">
        <v>703</v>
      </c>
      <c r="Z56" s="82"/>
      <c r="AB56" s="37">
        <f ca="1">PN2_15+0</f>
        <v>0</v>
      </c>
      <c r="AC56" s="2">
        <v>15</v>
      </c>
      <c r="AD56" s="7" t="s">
        <v>302</v>
      </c>
      <c r="AE56" s="7" t="s">
        <v>322</v>
      </c>
      <c r="AF56" s="7" t="s">
        <v>354</v>
      </c>
      <c r="AG56" s="7" t="b">
        <f ca="1">AND(PN1_1=TRUE,_P15+_P16+_2.01.02.01&gt;_2T)</f>
        <v>0</v>
      </c>
      <c r="AH56" s="7" t="str">
        <f>"PN2_"&amp;AC56</f>
        <v>PN2_15</v>
      </c>
      <c r="AI56" s="45">
        <f ca="1">_PN3_223+0</f>
        <v>0</v>
      </c>
      <c r="AJ56" s="7">
        <v>223</v>
      </c>
      <c r="AK56" s="125" t="s">
        <v>574</v>
      </c>
      <c r="AL56" s="125" t="s">
        <v>574</v>
      </c>
      <c r="AM56" s="7" t="s">
        <v>436</v>
      </c>
      <c r="AN56" s="7" t="b">
        <f ca="1">AND(PN2_22=TRUE,_PN3_221=FALSE,_PN3_222=FALSE)</f>
        <v>0</v>
      </c>
      <c r="AO56" s="47" t="str">
        <f t="shared" si="7"/>
        <v>PN3_223</v>
      </c>
      <c r="AZ56" s="222">
        <v>844</v>
      </c>
      <c r="BA56" s="223">
        <v>0</v>
      </c>
      <c r="BB56" s="223">
        <v>10</v>
      </c>
      <c r="BC56" s="223" t="b">
        <f ca="1">+AND(tip=AZ56,hektari&gt;=BA56,hektari&lt;=BB56,TRUE)</f>
        <v>0</v>
      </c>
      <c r="BD56" s="223">
        <v>70</v>
      </c>
    </row>
    <row r="57" spans="2:56" ht="12.75" customHeight="1" x14ac:dyDescent="0.2">
      <c r="B57" s="101" t="str">
        <f>SO!F13</f>
        <v>Rasplodne ovce</v>
      </c>
      <c r="C57" s="95"/>
      <c r="D57" s="95"/>
      <c r="E57" s="95"/>
      <c r="F57" s="95"/>
      <c r="G57" s="17"/>
      <c r="H57" s="213"/>
      <c r="I57" s="81">
        <f ca="1">SO!G13</f>
        <v>1087</v>
      </c>
      <c r="J57" s="212">
        <f ca="1">H57*I57</f>
        <v>0</v>
      </c>
      <c r="L57" s="324">
        <f>H57*AK20</f>
        <v>0</v>
      </c>
      <c r="O57" s="324"/>
      <c r="Q57" s="15"/>
      <c r="R57" s="10"/>
      <c r="U57" s="129"/>
      <c r="W57" s="290" t="e">
        <f>SUM(L43,L47:L53,L57:L58,L62:L63,O43:O45,O50:O52,O64)/(V41+W36)</f>
        <v>#DIV/0!</v>
      </c>
      <c r="AB57" s="37">
        <f ca="1">PN2_16+0</f>
        <v>0</v>
      </c>
      <c r="AC57" s="2">
        <v>16</v>
      </c>
      <c r="AD57" s="7" t="s">
        <v>301</v>
      </c>
      <c r="AE57" s="7" t="s">
        <v>323</v>
      </c>
      <c r="AF57" s="7" t="s">
        <v>355</v>
      </c>
      <c r="AG57" s="7" t="b">
        <f ca="1">AND(PN1_1=TRUE,_P15+_P16+_2.01.02.01&lt;=_2T)</f>
        <v>0</v>
      </c>
      <c r="AH57" s="7" t="str">
        <f>"PN2_"&amp;AC57</f>
        <v>PN2_16</v>
      </c>
      <c r="AI57" s="45">
        <f ca="1">_PN3_231+0</f>
        <v>0</v>
      </c>
      <c r="AJ57" s="162">
        <v>231</v>
      </c>
      <c r="AK57" s="125" t="s">
        <v>575</v>
      </c>
      <c r="AL57" s="125" t="s">
        <v>575</v>
      </c>
      <c r="AM57" s="7" t="s">
        <v>437</v>
      </c>
      <c r="AN57" s="7" t="b">
        <f ca="1">AND(PN2_23=TRUE,_2.06.01&gt;_2T)</f>
        <v>0</v>
      </c>
      <c r="AO57" s="47" t="str">
        <f t="shared" si="7"/>
        <v>PN3_231</v>
      </c>
      <c r="AZ57" s="222">
        <v>844</v>
      </c>
      <c r="BA57" s="223">
        <v>10.01</v>
      </c>
      <c r="BB57" s="223">
        <v>50</v>
      </c>
      <c r="BC57" s="223" t="b">
        <f ca="1">+AND(tip=AZ57,hektari&gt;=BA57,hektari&lt;=BB57,TRUE)</f>
        <v>0</v>
      </c>
      <c r="BD57" s="223">
        <v>110</v>
      </c>
    </row>
    <row r="58" spans="2:56" ht="12.75" customHeight="1" x14ac:dyDescent="0.2">
      <c r="B58" s="101" t="str">
        <f>SO!F14</f>
        <v>Ostale ovce (uklj. janjad i rasplodne mužjake)</v>
      </c>
      <c r="C58" s="95"/>
      <c r="D58" s="95"/>
      <c r="E58" s="95"/>
      <c r="F58" s="95"/>
      <c r="G58" s="17"/>
      <c r="H58" s="213"/>
      <c r="I58" s="81">
        <f ca="1">SO!G14</f>
        <v>1087</v>
      </c>
      <c r="J58" s="212">
        <f ca="1">IF(AND(H57&gt;0,H58&gt;0),"0",H58*I58)</f>
        <v>0</v>
      </c>
      <c r="K58" s="105">
        <f ca="1">_3.03.01.01+_3.03.01.99</f>
        <v>0</v>
      </c>
      <c r="L58" s="324">
        <f>H58*AK21</f>
        <v>0</v>
      </c>
      <c r="M58" s="180" t="s">
        <v>689</v>
      </c>
      <c r="O58" s="324"/>
      <c r="Q58" s="15"/>
      <c r="R58" s="10"/>
      <c r="U58" s="129"/>
      <c r="AB58" s="37">
        <f ca="1">PN2_21+0</f>
        <v>0</v>
      </c>
      <c r="AC58" s="2">
        <v>21</v>
      </c>
      <c r="AD58" s="7" t="s">
        <v>303</v>
      </c>
      <c r="AE58" s="7" t="s">
        <v>324</v>
      </c>
      <c r="AF58" s="7" t="s">
        <v>356</v>
      </c>
      <c r="AG58" s="7" t="b">
        <f ca="1">AND(PN1_2=TRUE,_2.01.07.02+_2.01.08.02 &gt;_2T)</f>
        <v>0</v>
      </c>
      <c r="AH58" s="7" t="str">
        <f t="shared" ref="AH58:AH75" si="8">"PN2_"&amp;AC58</f>
        <v>PN2_21</v>
      </c>
      <c r="AI58" s="45">
        <f ca="1">_PN3_232+0</f>
        <v>0</v>
      </c>
      <c r="AJ58" s="162">
        <v>232</v>
      </c>
      <c r="AK58" s="125" t="s">
        <v>576</v>
      </c>
      <c r="AL58" s="125" t="s">
        <v>576</v>
      </c>
      <c r="AM58" s="7" t="s">
        <v>438</v>
      </c>
      <c r="AN58" s="7" t="b">
        <f ca="1">AND(PN2_23=TRUE,_2.04.05&gt;_2T)</f>
        <v>0</v>
      </c>
      <c r="AO58" s="47" t="str">
        <f t="shared" si="7"/>
        <v>PN3_232</v>
      </c>
      <c r="AZ58" s="222">
        <v>844</v>
      </c>
      <c r="BA58" s="223">
        <v>50.01</v>
      </c>
      <c r="BB58" s="223">
        <v>100</v>
      </c>
      <c r="BC58" s="223" t="b">
        <f ca="1">+AND(tip=AZ58,hektari&gt;=BA58,hektari&lt;=BB58,TRUE)</f>
        <v>0</v>
      </c>
      <c r="BD58" s="223">
        <v>150</v>
      </c>
    </row>
    <row r="59" spans="2:56" ht="12.75" customHeight="1" x14ac:dyDescent="0.2">
      <c r="L59" s="324"/>
      <c r="O59" s="324"/>
      <c r="P59" s="96" t="s">
        <v>686</v>
      </c>
      <c r="Q59" s="96" t="s">
        <v>1</v>
      </c>
      <c r="R59" s="96" t="s">
        <v>230</v>
      </c>
      <c r="U59" s="131" t="s">
        <v>623</v>
      </c>
      <c r="AB59" s="37">
        <f ca="1">PN2_22+0</f>
        <v>0</v>
      </c>
      <c r="AC59" s="2">
        <v>22</v>
      </c>
      <c r="AD59" s="7" t="s">
        <v>304</v>
      </c>
      <c r="AE59" s="7" t="s">
        <v>325</v>
      </c>
      <c r="AF59" s="7" t="s">
        <v>357</v>
      </c>
      <c r="AG59" s="7" t="b">
        <f ca="1">AND(PN1_2=TRUE,_2.01.07.01.02+_2.01.08.01&gt;_2T)</f>
        <v>0</v>
      </c>
      <c r="AH59" s="7" t="str">
        <f t="shared" si="8"/>
        <v>PN2_22</v>
      </c>
      <c r="AI59" s="45">
        <f ca="1">_PN3_233+0</f>
        <v>0</v>
      </c>
      <c r="AJ59" s="162">
        <v>233</v>
      </c>
      <c r="AK59" s="125" t="s">
        <v>577</v>
      </c>
      <c r="AL59" s="125" t="s">
        <v>577</v>
      </c>
      <c r="AM59" s="7" t="s">
        <v>439</v>
      </c>
      <c r="AN59" s="7" t="b">
        <f ca="1">AND(PN2_23=TRUE,_PN3_232=FALSE)</f>
        <v>0</v>
      </c>
      <c r="AO59" s="47" t="str">
        <f t="shared" si="7"/>
        <v>PN3_233</v>
      </c>
      <c r="AZ59" s="222">
        <v>844</v>
      </c>
      <c r="BA59" s="223">
        <v>100.01</v>
      </c>
      <c r="BB59" s="223">
        <v>300</v>
      </c>
      <c r="BC59" s="223" t="b">
        <f ca="1">+AND(tip=AZ59,hektari&gt;=BA59,hektari&lt;=BB59,TRUE)</f>
        <v>0</v>
      </c>
      <c r="BD59" s="223">
        <v>200</v>
      </c>
    </row>
    <row r="60" spans="2:56" ht="12.75" customHeight="1" x14ac:dyDescent="0.2">
      <c r="B60" s="180" t="s">
        <v>512</v>
      </c>
      <c r="L60" s="324"/>
      <c r="M60" s="102" t="str">
        <f>SO!F25</f>
        <v>Puževi</v>
      </c>
      <c r="N60" s="94"/>
      <c r="O60" s="324"/>
      <c r="P60" s="213"/>
      <c r="Q60" s="123">
        <f ca="1">SO!G25</f>
        <v>33</v>
      </c>
      <c r="R60" s="212">
        <f ca="1">P60*Q60</f>
        <v>0</v>
      </c>
      <c r="U60" s="132"/>
      <c r="V60" s="335" t="str">
        <f ca="1">(IF(TSO=0," ",IF($P$60&gt;0,TSO,IF($P$64&gt;0,TSO,TSO))))</f>
        <v xml:space="preserve"> </v>
      </c>
      <c r="W60" s="336"/>
      <c r="X60" s="336"/>
      <c r="Y60" s="337"/>
      <c r="Z60" s="262"/>
      <c r="AB60" s="37">
        <f ca="1">PN2_23+0</f>
        <v>0</v>
      </c>
      <c r="AC60" s="2">
        <v>23</v>
      </c>
      <c r="AD60" s="7" t="s">
        <v>305</v>
      </c>
      <c r="AE60" s="7" t="s">
        <v>326</v>
      </c>
      <c r="AF60" s="7" t="s">
        <v>358</v>
      </c>
      <c r="AG60" s="7" t="b">
        <f ca="1">AND(PN1_2=TRUE, _2.01.07.02+_2.01.08.02&lt;=_2T, _2.01.07.01.02+_2.01.08.01&lt;=_2T)</f>
        <v>0</v>
      </c>
      <c r="AH60" s="7" t="str">
        <f t="shared" si="8"/>
        <v>PN2_23</v>
      </c>
      <c r="AI60" s="45">
        <f ca="1">_PN3_351+0</f>
        <v>0</v>
      </c>
      <c r="AJ60" s="7">
        <v>351</v>
      </c>
      <c r="AK60" s="125" t="s">
        <v>580</v>
      </c>
      <c r="AL60" s="125" t="s">
        <v>580</v>
      </c>
      <c r="AM60" s="7" t="s">
        <v>643</v>
      </c>
      <c r="AN60" s="7" t="b">
        <f ca="1">AND(PN2_35=TRUE,_2.04.04.01&gt;_2T)</f>
        <v>0</v>
      </c>
      <c r="AO60" s="47" t="str">
        <f t="shared" si="7"/>
        <v>PN3_351</v>
      </c>
      <c r="AZ60" s="222">
        <v>844</v>
      </c>
      <c r="BA60" s="223">
        <v>300.01</v>
      </c>
      <c r="BB60" s="223">
        <v>500</v>
      </c>
      <c r="BC60" s="223" t="b">
        <f ca="1">+AND(tip=AZ60,hektari&gt;=BA60,hektari&lt;=BB60,TRUE)</f>
        <v>0</v>
      </c>
      <c r="BD60" s="223">
        <v>250</v>
      </c>
    </row>
    <row r="61" spans="2:56" ht="12.75" customHeight="1" x14ac:dyDescent="0.2">
      <c r="H61" s="96" t="s">
        <v>169</v>
      </c>
      <c r="I61" s="96" t="s">
        <v>1</v>
      </c>
      <c r="J61" s="96" t="s">
        <v>230</v>
      </c>
      <c r="L61" s="324"/>
      <c r="O61" s="324"/>
      <c r="U61" s="132" t="s">
        <v>624</v>
      </c>
      <c r="V61" s="338"/>
      <c r="W61" s="339"/>
      <c r="X61" s="339"/>
      <c r="Y61" s="340"/>
      <c r="Z61" s="262"/>
      <c r="AB61" s="37">
        <f ca="1">PN2_35+0</f>
        <v>0</v>
      </c>
      <c r="AC61" s="2">
        <v>35</v>
      </c>
      <c r="AD61" s="7" t="s">
        <v>306</v>
      </c>
      <c r="AE61" s="7" t="s">
        <v>327</v>
      </c>
      <c r="AF61" s="7" t="s">
        <v>359</v>
      </c>
      <c r="AG61" s="7" t="b">
        <f ca="1">AND(PN1_3=TRUE,_2.04.04.01+_2.04.04.02&gt;_2T)</f>
        <v>0</v>
      </c>
      <c r="AH61" s="7" t="str">
        <f t="shared" si="8"/>
        <v>PN2_35</v>
      </c>
      <c r="AI61" s="45">
        <f ca="1">_PN3_352+0</f>
        <v>0</v>
      </c>
      <c r="AJ61" s="7">
        <v>352</v>
      </c>
      <c r="AK61" s="125" t="s">
        <v>581</v>
      </c>
      <c r="AL61" s="125" t="s">
        <v>581</v>
      </c>
      <c r="AM61" s="7" t="s">
        <v>642</v>
      </c>
      <c r="AN61" s="7" t="b">
        <f ca="1">AND(PN2_35=TRUE,_2.04.04.02&gt;_2T)</f>
        <v>0</v>
      </c>
      <c r="AO61" s="47" t="str">
        <f t="shared" si="7"/>
        <v>PN3_352</v>
      </c>
      <c r="AZ61" s="222">
        <v>844</v>
      </c>
      <c r="BA61" s="223">
        <v>500.01</v>
      </c>
      <c r="BB61" s="223"/>
      <c r="BC61" s="223" t="b">
        <f ca="1">+AND(tip=AZ61,hektari&gt;=BA61,TRUE)</f>
        <v>0</v>
      </c>
      <c r="BD61" s="223">
        <v>300</v>
      </c>
    </row>
    <row r="62" spans="2:56" ht="12.75" customHeight="1" x14ac:dyDescent="0.2">
      <c r="B62" s="101" t="str">
        <f>SO!F15</f>
        <v>Rasplodne koze</v>
      </c>
      <c r="C62" s="95"/>
      <c r="D62" s="95"/>
      <c r="E62" s="95"/>
      <c r="F62" s="95"/>
      <c r="G62" s="17"/>
      <c r="H62" s="213"/>
      <c r="I62" s="81">
        <f ca="1">SO!G15</f>
        <v>2118</v>
      </c>
      <c r="J62" s="212">
        <f ca="1">H62*I62</f>
        <v>0</v>
      </c>
      <c r="L62" s="324">
        <f>H62*AK22</f>
        <v>0</v>
      </c>
      <c r="M62" s="180" t="s">
        <v>696</v>
      </c>
      <c r="O62" s="324"/>
      <c r="P62" s="96"/>
      <c r="U62" s="129"/>
      <c r="AB62" s="37">
        <f ca="1">PN2_36+0</f>
        <v>0</v>
      </c>
      <c r="AC62" s="2">
        <v>36</v>
      </c>
      <c r="AD62" s="7" t="s">
        <v>307</v>
      </c>
      <c r="AE62" s="7" t="s">
        <v>328</v>
      </c>
      <c r="AF62" s="7" t="s">
        <v>360</v>
      </c>
      <c r="AG62" s="7" t="b">
        <f ca="1">AND(PN1_3=TRUE,_2.04.01.01+_2.04.01.01+_2.04.01.03+_2.04.02&gt;_2T)</f>
        <v>0</v>
      </c>
      <c r="AH62" s="7" t="str">
        <f t="shared" si="8"/>
        <v>PN2_36</v>
      </c>
      <c r="AI62" s="45">
        <f ca="1">_PN3_353+0</f>
        <v>0</v>
      </c>
      <c r="AJ62" s="7">
        <v>353</v>
      </c>
      <c r="AK62" s="125" t="s">
        <v>582</v>
      </c>
      <c r="AL62" s="125" t="s">
        <v>582</v>
      </c>
      <c r="AM62" s="7" t="s">
        <v>440</v>
      </c>
      <c r="AN62" s="7" t="b">
        <f ca="1">AND(PN2_35=TRUE,_2.04.04.03&gt;_2T)</f>
        <v>0</v>
      </c>
      <c r="AO62" s="47" t="str">
        <f t="shared" si="7"/>
        <v>PN3_353</v>
      </c>
      <c r="AZ62" s="222">
        <v>211</v>
      </c>
      <c r="BA62" s="223">
        <v>0</v>
      </c>
      <c r="BB62" s="223">
        <v>1</v>
      </c>
      <c r="BC62" s="223" t="b">
        <f ca="1">+AND(tip=AZ62,hektari&gt;=BA62,hektari&lt;=BB62,TRUE)</f>
        <v>0</v>
      </c>
      <c r="BD62" s="223">
        <v>50</v>
      </c>
    </row>
    <row r="63" spans="2:56" ht="12.75" customHeight="1" x14ac:dyDescent="0.2">
      <c r="B63" s="101" t="str">
        <f>SO!F16</f>
        <v>Ostale koze (uklj. jariće i rasplodne mužjake)</v>
      </c>
      <c r="C63" s="95"/>
      <c r="D63" s="95"/>
      <c r="E63" s="95"/>
      <c r="F63" s="95"/>
      <c r="G63" s="17"/>
      <c r="H63" s="213"/>
      <c r="I63" s="81">
        <f ca="1">SO!G16</f>
        <v>2118</v>
      </c>
      <c r="J63" s="212">
        <f ca="1">IF(AND(H62&gt;0,H63&gt;0),"0",H63*I63)</f>
        <v>0</v>
      </c>
      <c r="K63" s="105">
        <f ca="1">_3.03.02.01+_3.03.02.99</f>
        <v>0</v>
      </c>
      <c r="L63" s="324">
        <f>H63*AK23</f>
        <v>0</v>
      </c>
      <c r="O63" s="324"/>
      <c r="P63" s="96" t="s">
        <v>169</v>
      </c>
      <c r="Q63" s="96" t="s">
        <v>1</v>
      </c>
      <c r="R63" s="96" t="s">
        <v>230</v>
      </c>
      <c r="U63" s="129"/>
      <c r="V63" s="335" t="str">
        <f ca="1">IF((TSO*tx)=0," ",TSO*tx)</f>
        <v xml:space="preserve"> </v>
      </c>
      <c r="W63" s="336"/>
      <c r="X63" s="336"/>
      <c r="Y63" s="337"/>
      <c r="Z63" s="262"/>
      <c r="AB63" s="37">
        <f ca="1">PN2_37+0</f>
        <v>0</v>
      </c>
      <c r="AC63" s="2">
        <v>37</v>
      </c>
      <c r="AD63" s="7" t="s">
        <v>308</v>
      </c>
      <c r="AE63" s="7" t="s">
        <v>329</v>
      </c>
      <c r="AF63" s="7" t="s">
        <v>361</v>
      </c>
      <c r="AG63" s="7" t="b">
        <f ca="1">AND(PN1_3=TRUE,_2.04.03.01+_2.04.03.02&gt;_2T)</f>
        <v>0</v>
      </c>
      <c r="AH63" s="7" t="str">
        <f t="shared" si="8"/>
        <v>PN2_37</v>
      </c>
      <c r="AI63" s="45">
        <f ca="1">_PN3_354+0</f>
        <v>0</v>
      </c>
      <c r="AJ63" s="7">
        <v>354</v>
      </c>
      <c r="AK63" s="125" t="s">
        <v>583</v>
      </c>
      <c r="AL63" s="125" t="s">
        <v>583</v>
      </c>
      <c r="AM63" s="7" t="s">
        <v>441</v>
      </c>
      <c r="AN63" s="7" t="b">
        <f ca="1">AND(PN2_35=TRUE,_PN3_351=FALSE,_PN3_352=FALSE,_PN3_353=FALSE)</f>
        <v>0</v>
      </c>
      <c r="AO63" s="47" t="str">
        <f t="shared" si="7"/>
        <v>PN3_354</v>
      </c>
      <c r="AZ63" s="222">
        <v>211</v>
      </c>
      <c r="BA63" s="223">
        <v>1.01</v>
      </c>
      <c r="BB63" s="223">
        <v>5</v>
      </c>
      <c r="BC63" s="223" t="b">
        <f ca="1">+AND(tip=AZ63,hektari&gt;=BA63,hektari&lt;=BB63,TRUE)</f>
        <v>0</v>
      </c>
      <c r="BD63" s="223">
        <v>75</v>
      </c>
    </row>
    <row r="64" spans="2:56" ht="12.75" customHeight="1" x14ac:dyDescent="0.2">
      <c r="L64" s="324"/>
      <c r="M64" s="102" t="str">
        <f>SO!F26</f>
        <v>Kunići (rasplodne ženke)</v>
      </c>
      <c r="N64" s="94"/>
      <c r="O64" s="324">
        <f>P64*AK31</f>
        <v>0</v>
      </c>
      <c r="P64" s="213"/>
      <c r="Q64" s="123">
        <f ca="1">SO!G26</f>
        <v>158</v>
      </c>
      <c r="R64" s="212">
        <f ca="1">P64*Q64</f>
        <v>0</v>
      </c>
      <c r="U64" s="132" t="s">
        <v>625</v>
      </c>
      <c r="V64" s="338"/>
      <c r="W64" s="339"/>
      <c r="X64" s="339"/>
      <c r="Y64" s="340"/>
      <c r="Z64" s="262"/>
      <c r="AB64" s="37">
        <f ca="1">PN2_38+0</f>
        <v>0</v>
      </c>
      <c r="AC64" s="2">
        <v>38</v>
      </c>
      <c r="AD64" s="7" t="s">
        <v>309</v>
      </c>
      <c r="AE64" s="7" t="s">
        <v>330</v>
      </c>
      <c r="AF64" s="7" t="s">
        <v>362</v>
      </c>
      <c r="AG64" s="7" t="b">
        <f ca="1">AND(PN1_3=TRUE,PN2_35=FALSE,PN2_36=FALSE,PN2_37=FALSE)</f>
        <v>0</v>
      </c>
      <c r="AH64" s="7" t="str">
        <f>"PN2_"&amp;AC64</f>
        <v>PN2_38</v>
      </c>
      <c r="AI64" s="45">
        <f ca="1">_PN3_361+0</f>
        <v>0</v>
      </c>
      <c r="AJ64" s="7">
        <v>361</v>
      </c>
      <c r="AK64" s="125" t="s">
        <v>584</v>
      </c>
      <c r="AL64" s="125" t="s">
        <v>584</v>
      </c>
      <c r="AM64" s="7" t="s">
        <v>442</v>
      </c>
      <c r="AN64" s="7" t="b">
        <f ca="1">AND(PN2_36=TRUE,(_2.04.01.01.01+_2.04.01.02)&gt;_2T)</f>
        <v>0</v>
      </c>
      <c r="AO64" s="47" t="str">
        <f t="shared" si="7"/>
        <v>PN3_361</v>
      </c>
      <c r="AZ64" s="222">
        <v>211</v>
      </c>
      <c r="BA64" s="223">
        <v>5.01</v>
      </c>
      <c r="BB64" s="223">
        <v>10</v>
      </c>
      <c r="BC64" s="223" t="b">
        <f ca="1">+AND(tip=AZ64,hektari&gt;=BA64,hektari&lt;=BB64,TRUE)</f>
        <v>0</v>
      </c>
      <c r="BD64" s="223">
        <v>140</v>
      </c>
    </row>
    <row r="65" spans="1:56" ht="18.75" customHeight="1" thickBot="1" x14ac:dyDescent="0.25">
      <c r="U65" s="7"/>
      <c r="W65" s="164"/>
      <c r="AB65" s="37">
        <f ca="1">PN2_45+0</f>
        <v>0</v>
      </c>
      <c r="AC65" s="2">
        <v>45</v>
      </c>
      <c r="AD65" s="20" t="s">
        <v>310</v>
      </c>
      <c r="AE65" s="7" t="s">
        <v>331</v>
      </c>
      <c r="AF65" s="7" t="s">
        <v>363</v>
      </c>
      <c r="AG65" s="7" t="b">
        <f ca="1">AND(PN1_4=TRUE,_3.02.06&gt;_GL*0.75,_GL&gt;_P4*0.1)</f>
        <v>0</v>
      </c>
      <c r="AH65" s="7" t="str">
        <f t="shared" si="8"/>
        <v>PN2_45</v>
      </c>
      <c r="AI65" s="45">
        <f ca="1">_PN3_362+0</f>
        <v>0</v>
      </c>
      <c r="AJ65" s="7">
        <v>362</v>
      </c>
      <c r="AK65" s="125" t="s">
        <v>585</v>
      </c>
      <c r="AL65" s="125" t="s">
        <v>585</v>
      </c>
      <c r="AM65" s="7" t="s">
        <v>443</v>
      </c>
      <c r="AN65" s="7" t="b">
        <f ca="1">AND(PN2_36=TRUE,_2.04.02&gt;_2T)</f>
        <v>0</v>
      </c>
      <c r="AO65" s="47" t="str">
        <f t="shared" si="7"/>
        <v>PN3_362</v>
      </c>
      <c r="AZ65" s="222">
        <v>211</v>
      </c>
      <c r="BA65" s="223">
        <v>10.01</v>
      </c>
      <c r="BB65" s="223"/>
      <c r="BC65" s="223" t="b">
        <f ca="1">+AND(tip=AZ65,hektari&gt;=BA65,TRUE)</f>
        <v>0</v>
      </c>
      <c r="BD65" s="223">
        <v>170</v>
      </c>
    </row>
    <row r="66" spans="1:56" ht="11.25" hidden="1" customHeight="1" x14ac:dyDescent="0.2">
      <c r="B66" s="7"/>
      <c r="C66" s="7"/>
      <c r="D66" s="7"/>
      <c r="E66" s="7"/>
      <c r="F66" s="7"/>
      <c r="G66" s="7"/>
      <c r="H66" s="7"/>
      <c r="I66" s="7"/>
      <c r="J66" s="7"/>
      <c r="K66" s="7"/>
      <c r="L66" s="292"/>
      <c r="M66" s="7"/>
      <c r="N66" s="7"/>
      <c r="O66" s="7"/>
      <c r="P66" s="7"/>
      <c r="Q66" s="7"/>
      <c r="R66" s="7"/>
      <c r="S66" s="7"/>
      <c r="T66" s="7"/>
      <c r="AB66" s="37">
        <f ca="1">PN2_46+0</f>
        <v>0</v>
      </c>
      <c r="AC66" s="2">
        <v>46</v>
      </c>
      <c r="AD66" s="7" t="s">
        <v>311</v>
      </c>
      <c r="AE66" s="7" t="s">
        <v>332</v>
      </c>
      <c r="AF66" s="7" t="s">
        <v>364</v>
      </c>
      <c r="AG66" s="7" t="b">
        <f ca="1">AND(PN1_4=TRUE,_P46&gt;(_GL*2)/3, _3.02.06&lt;=_GL*0.1, _GL&gt;_P4*0.1)</f>
        <v>0</v>
      </c>
      <c r="AH66" s="7" t="str">
        <f t="shared" si="8"/>
        <v>PN2_46</v>
      </c>
      <c r="AI66" s="45">
        <f ca="1">_PN3_363+0</f>
        <v>0</v>
      </c>
      <c r="AJ66" s="7">
        <v>363</v>
      </c>
      <c r="AK66" s="125" t="s">
        <v>586</v>
      </c>
      <c r="AL66" s="125" t="s">
        <v>586</v>
      </c>
      <c r="AM66" s="7" t="s">
        <v>444</v>
      </c>
      <c r="AN66" s="7" t="b">
        <f ca="1">AND(PN2_36=TRUE,_2.04.01.03&gt;_2T)</f>
        <v>0</v>
      </c>
      <c r="AO66" s="47" t="str">
        <f t="shared" si="7"/>
        <v>PN3_363</v>
      </c>
      <c r="AZ66" s="222">
        <v>212</v>
      </c>
      <c r="BA66" s="223">
        <v>0</v>
      </c>
      <c r="BB66" s="223">
        <v>1</v>
      </c>
      <c r="BC66" s="223" t="b">
        <f ca="1">+AND(tip=AZ66,hektari&gt;=BA66,hektari&lt;=BB66,TRUE)</f>
        <v>0</v>
      </c>
      <c r="BD66" s="223">
        <v>50</v>
      </c>
    </row>
    <row r="67" spans="1:56" ht="12.75" hidden="1" customHeight="1" x14ac:dyDescent="0.2">
      <c r="A67" s="181"/>
      <c r="B67" s="7" t="e">
        <f ca="1">curcolumn()</f>
        <v>#NAME?</v>
      </c>
      <c r="C67" s="7"/>
      <c r="D67" s="7"/>
      <c r="E67" s="7"/>
      <c r="F67" s="7"/>
      <c r="G67" s="7"/>
      <c r="H67" s="7"/>
      <c r="I67" s="7"/>
      <c r="J67" s="7"/>
      <c r="K67" s="7"/>
      <c r="L67" s="292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B67" s="37">
        <f ca="1">PN2_47+0</f>
        <v>0</v>
      </c>
      <c r="AC67" s="2">
        <v>47</v>
      </c>
      <c r="AD67" s="7" t="s">
        <v>312</v>
      </c>
      <c r="AE67" s="7" t="s">
        <v>333</v>
      </c>
      <c r="AF67" s="7" t="s">
        <v>365</v>
      </c>
      <c r="AG67" s="7" t="b">
        <f ca="1">AND(PN1_4=TRUE,_P46&gt;(_GL*2)/3, _3.02.06&gt;_GL*0.1, _GL&gt;_P4*0.1,AG65=FALSE)</f>
        <v>0</v>
      </c>
      <c r="AH67" s="7" t="str">
        <f t="shared" si="8"/>
        <v>PN2_47</v>
      </c>
      <c r="AI67" s="45">
        <f>_PN3_364+0</f>
        <v>0</v>
      </c>
      <c r="AJ67" s="7">
        <v>364</v>
      </c>
      <c r="AK67" s="126" t="s">
        <v>587</v>
      </c>
      <c r="AL67" s="126" t="s">
        <v>587</v>
      </c>
      <c r="AM67" s="48" t="s">
        <v>445</v>
      </c>
      <c r="AN67" s="49"/>
      <c r="AO67" s="47" t="str">
        <f t="shared" si="7"/>
        <v>PN3_364</v>
      </c>
      <c r="AZ67" s="222">
        <v>212</v>
      </c>
      <c r="BA67" s="223">
        <v>1.01</v>
      </c>
      <c r="BB67" s="223">
        <v>5</v>
      </c>
      <c r="BC67" s="223" t="b">
        <f ca="1">+AND(tip=AZ67,hektari&gt;=BA67,hektari&lt;=BB67,TRUE)</f>
        <v>0</v>
      </c>
      <c r="BD67" s="223">
        <v>75</v>
      </c>
    </row>
    <row r="68" spans="1:56" ht="12.75" hidden="1" customHeight="1" x14ac:dyDescent="0.2">
      <c r="A68" s="181"/>
      <c r="B68" s="7" t="e">
        <f ca="1">currow()</f>
        <v>#NAME?</v>
      </c>
      <c r="C68" s="7"/>
      <c r="D68" s="7"/>
      <c r="E68" s="7"/>
      <c r="F68" s="7"/>
      <c r="G68" s="7"/>
      <c r="H68" s="7"/>
      <c r="I68" s="7"/>
      <c r="J68" s="7"/>
      <c r="K68" s="7"/>
      <c r="L68" s="292"/>
      <c r="M68" s="7"/>
      <c r="N68" s="7"/>
      <c r="O68" s="7"/>
      <c r="P68" s="7"/>
      <c r="Q68" s="7"/>
      <c r="R68" s="7"/>
      <c r="S68" s="7"/>
      <c r="T68" s="7"/>
      <c r="U68" s="7"/>
      <c r="V68" s="7"/>
      <c r="W68" s="165"/>
      <c r="X68" s="7"/>
      <c r="Y68" s="7"/>
      <c r="Z68" s="7"/>
      <c r="AB68" s="37">
        <f ca="1">PN2_48+0</f>
        <v>0</v>
      </c>
      <c r="AC68" s="2">
        <v>48</v>
      </c>
      <c r="AD68" s="7" t="s">
        <v>313</v>
      </c>
      <c r="AE68" s="7" t="s">
        <v>334</v>
      </c>
      <c r="AF68" s="7" t="s">
        <v>366</v>
      </c>
      <c r="AG68" s="7" t="b">
        <f ca="1">AND(PN1_4=TRUE,PN2_45=FALSE,PN2_46=FALSE,PN2_47=FALSE)</f>
        <v>0</v>
      </c>
      <c r="AH68" s="7" t="str">
        <f t="shared" si="8"/>
        <v>PN2_48</v>
      </c>
      <c r="AI68" s="45">
        <f ca="1">_PN3_365+0</f>
        <v>0</v>
      </c>
      <c r="AJ68" s="7">
        <v>365</v>
      </c>
      <c r="AK68" s="126" t="s">
        <v>588</v>
      </c>
      <c r="AL68" s="126" t="s">
        <v>588</v>
      </c>
      <c r="AM68" s="7" t="s">
        <v>446</v>
      </c>
      <c r="AN68" s="7" t="b">
        <f ca="1">AND(PN2_36=TRUE,_PN3_361=FALSE,_PN3_362=FALSE,_PN3_363=FALSE)</f>
        <v>0</v>
      </c>
      <c r="AO68" s="47" t="str">
        <f t="shared" si="7"/>
        <v>PN3_365</v>
      </c>
      <c r="AZ68" s="222">
        <v>212</v>
      </c>
      <c r="BA68" s="223">
        <v>5.01</v>
      </c>
      <c r="BB68" s="223">
        <v>10</v>
      </c>
      <c r="BC68" s="223" t="b">
        <f ca="1">+AND(tip=AZ68,hektari&gt;=BA68,hektari&lt;=BB68,TRUE)</f>
        <v>0</v>
      </c>
      <c r="BD68" s="223">
        <v>140</v>
      </c>
    </row>
    <row r="69" spans="1:56" ht="12.75" hidden="1" customHeight="1" x14ac:dyDescent="0.2">
      <c r="A69" s="181"/>
      <c r="B69" s="7" t="e">
        <f ca="1">"L"&amp;B68&amp;"C"&amp;B67</f>
        <v>#NAME?</v>
      </c>
      <c r="C69" s="7"/>
      <c r="D69" s="7"/>
      <c r="E69" s="7"/>
      <c r="F69" s="7"/>
      <c r="G69" s="7"/>
      <c r="H69" s="7"/>
      <c r="I69" s="7"/>
      <c r="J69" s="7"/>
      <c r="K69" s="7"/>
      <c r="L69" s="292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B69" s="37">
        <f ca="1">PN2_51+0</f>
        <v>0</v>
      </c>
      <c r="AC69" s="2">
        <v>51</v>
      </c>
      <c r="AD69" s="7" t="s">
        <v>314</v>
      </c>
      <c r="AE69" s="7" t="s">
        <v>335</v>
      </c>
      <c r="AF69" s="7" t="s">
        <v>367</v>
      </c>
      <c r="AG69" s="7" t="b">
        <f ca="1">AND(PN1_5=TRUE,_P51&gt;_2T)</f>
        <v>0</v>
      </c>
      <c r="AH69" s="7" t="str">
        <f t="shared" si="8"/>
        <v>PN2_51</v>
      </c>
      <c r="AI69" s="45">
        <f ca="1">_PN3_370+0</f>
        <v>0</v>
      </c>
      <c r="AJ69" s="7">
        <v>370</v>
      </c>
      <c r="AK69" s="182" t="s">
        <v>308</v>
      </c>
      <c r="AL69" s="182" t="s">
        <v>308</v>
      </c>
      <c r="AM69" s="7" t="s">
        <v>447</v>
      </c>
      <c r="AN69" s="7" t="b">
        <f ca="1">AND(PN2_37=TRUE)</f>
        <v>0</v>
      </c>
      <c r="AO69" s="47" t="str">
        <f t="shared" si="7"/>
        <v>PN3_370</v>
      </c>
      <c r="AZ69" s="222">
        <v>212</v>
      </c>
      <c r="BA69" s="223">
        <v>10.01</v>
      </c>
      <c r="BB69" s="223"/>
      <c r="BC69" s="223" t="b">
        <f ca="1">+AND(tip=AZ69,hektari&gt;=BA69,TRUE)</f>
        <v>0</v>
      </c>
      <c r="BD69" s="223">
        <v>170</v>
      </c>
    </row>
    <row r="70" spans="1:56" ht="15" hidden="1" x14ac:dyDescent="0.25">
      <c r="A70" s="181"/>
      <c r="B70" s="127" t="e">
        <f ca="1">IF(AND(B67&gt;2,B68&gt;5),OFFSET(INDIRECT(B69,FALSE),0,-2),"")</f>
        <v>#NAME?</v>
      </c>
      <c r="C70" s="7"/>
      <c r="D70" s="7"/>
      <c r="E70" s="7"/>
      <c r="F70" s="7"/>
      <c r="G70" s="7"/>
      <c r="H70" s="7"/>
      <c r="I70" s="7"/>
      <c r="J70" s="7"/>
      <c r="K70" s="7"/>
      <c r="L70" s="292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B70" s="37">
        <f ca="1">PN2_52+0</f>
        <v>0</v>
      </c>
      <c r="AC70" s="2">
        <v>52</v>
      </c>
      <c r="AD70" s="7" t="s">
        <v>315</v>
      </c>
      <c r="AE70" s="7" t="s">
        <v>336</v>
      </c>
      <c r="AF70" s="7" t="s">
        <v>368</v>
      </c>
      <c r="AG70" s="7" t="b">
        <f ca="1">AND(PN1_5=TRUE,_P52&gt;_2T)</f>
        <v>0</v>
      </c>
      <c r="AH70" s="7" t="str">
        <f t="shared" si="8"/>
        <v>PN2_52</v>
      </c>
      <c r="AI70" s="45">
        <f ca="1">_PN3_380+0</f>
        <v>0</v>
      </c>
      <c r="AJ70" s="7">
        <v>380</v>
      </c>
      <c r="AK70" s="182" t="s">
        <v>309</v>
      </c>
      <c r="AL70" s="182" t="s">
        <v>309</v>
      </c>
      <c r="AM70" s="7" t="s">
        <v>362</v>
      </c>
      <c r="AN70" s="7" t="b">
        <f ca="1">AND(PN2_38=TRUE)</f>
        <v>0</v>
      </c>
      <c r="AO70" s="47" t="str">
        <f t="shared" si="7"/>
        <v>PN3_380</v>
      </c>
      <c r="AZ70" s="222">
        <v>213</v>
      </c>
      <c r="BA70" s="223">
        <v>0</v>
      </c>
      <c r="BB70" s="223">
        <v>1</v>
      </c>
      <c r="BC70" s="223" t="b">
        <f ca="1">+AND(tip=AZ70,hektari&gt;=BA70,hektari&lt;=BB70,TRUE)</f>
        <v>0</v>
      </c>
      <c r="BD70" s="223">
        <v>50</v>
      </c>
    </row>
    <row r="71" spans="1:56" hidden="1" x14ac:dyDescent="0.2">
      <c r="A71" s="181"/>
      <c r="B71" s="7"/>
      <c r="C71" s="7"/>
      <c r="D71" s="7"/>
      <c r="E71" s="7"/>
      <c r="F71" s="7"/>
      <c r="G71" s="7"/>
      <c r="H71" s="7"/>
      <c r="I71" s="7"/>
      <c r="J71" s="7"/>
      <c r="K71" s="7"/>
      <c r="L71" s="292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B71" s="37">
        <f ca="1">PN2_53+0</f>
        <v>0</v>
      </c>
      <c r="AC71" s="2">
        <v>53</v>
      </c>
      <c r="AD71" s="7" t="s">
        <v>316</v>
      </c>
      <c r="AE71" s="7" t="s">
        <v>337</v>
      </c>
      <c r="AF71" s="7" t="s">
        <v>373</v>
      </c>
      <c r="AG71" s="7" t="b">
        <f ca="1">AND(PN1_5=TRUE,PN2_51=FALSE,PN2_52=FALSE)</f>
        <v>0</v>
      </c>
      <c r="AH71" s="7" t="str">
        <f t="shared" si="8"/>
        <v>PN2_53</v>
      </c>
      <c r="AI71" s="45">
        <f ca="1">_PN3_450+0</f>
        <v>0</v>
      </c>
      <c r="AJ71" s="7">
        <v>450</v>
      </c>
      <c r="AK71" s="126" t="s">
        <v>310</v>
      </c>
      <c r="AL71" s="126" t="s">
        <v>310</v>
      </c>
      <c r="AM71" s="7" t="s">
        <v>363</v>
      </c>
      <c r="AN71" s="7" t="b">
        <f ca="1">AND(PN2_45=TRUE,_3.02.06&gt;_GL*0.75,_GL&gt;_P4*0.1)</f>
        <v>0</v>
      </c>
      <c r="AO71" s="47" t="str">
        <f t="shared" si="7"/>
        <v>PN3_450</v>
      </c>
      <c r="AZ71" s="222">
        <v>213</v>
      </c>
      <c r="BA71" s="223">
        <v>1.01</v>
      </c>
      <c r="BB71" s="223">
        <v>5</v>
      </c>
      <c r="BC71" s="223" t="b">
        <f ca="1">+AND(tip=AZ71,hektari&gt;=BA71,hektari&lt;=BB71,TRUE)</f>
        <v>0</v>
      </c>
      <c r="BD71" s="223">
        <v>75</v>
      </c>
    </row>
    <row r="72" spans="1:56" ht="12.75" hidden="1" customHeight="1" x14ac:dyDescent="0.2">
      <c r="A72" s="181"/>
      <c r="B72" s="128" t="s">
        <v>478</v>
      </c>
      <c r="C72" s="7"/>
      <c r="D72" s="7"/>
      <c r="E72" s="7"/>
      <c r="F72" s="7"/>
      <c r="G72" s="7"/>
      <c r="H72" s="7"/>
      <c r="I72" s="7"/>
      <c r="J72" s="7"/>
      <c r="K72" s="7"/>
      <c r="L72" s="292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B72" s="37">
        <f ca="1">PN2_61+0</f>
        <v>0</v>
      </c>
      <c r="AC72" s="2">
        <v>61</v>
      </c>
      <c r="AD72" s="7" t="s">
        <v>113</v>
      </c>
      <c r="AE72" s="7" t="s">
        <v>295</v>
      </c>
      <c r="AF72" s="7" t="s">
        <v>350</v>
      </c>
      <c r="AG72" s="7" t="b">
        <f ca="1">PN1_6</f>
        <v>0</v>
      </c>
      <c r="AH72" s="7" t="str">
        <f t="shared" si="8"/>
        <v>PN2_61</v>
      </c>
      <c r="AI72" s="45">
        <f ca="1">_PN3_460+0</f>
        <v>0</v>
      </c>
      <c r="AJ72" s="7">
        <v>460</v>
      </c>
      <c r="AK72" s="126" t="s">
        <v>589</v>
      </c>
      <c r="AL72" s="126" t="s">
        <v>589</v>
      </c>
      <c r="AM72" s="7" t="s">
        <v>364</v>
      </c>
      <c r="AN72" s="7" t="b">
        <f ca="1">PN2_46</f>
        <v>0</v>
      </c>
      <c r="AO72" s="47" t="str">
        <f t="shared" si="7"/>
        <v>PN3_460</v>
      </c>
      <c r="AZ72" s="222">
        <v>213</v>
      </c>
      <c r="BA72" s="223">
        <v>5.01</v>
      </c>
      <c r="BB72" s="223">
        <v>10</v>
      </c>
      <c r="BC72" s="223" t="b">
        <f ca="1">+AND(tip=AZ72,hektari&gt;=BA72,hektari&lt;=BB72,TRUE)</f>
        <v>0</v>
      </c>
      <c r="BD72" s="223">
        <v>140</v>
      </c>
    </row>
    <row r="73" spans="1:56" ht="13.5" hidden="1" thickBot="1" x14ac:dyDescent="0.25">
      <c r="A73" s="181"/>
      <c r="B73" s="228" t="s">
        <v>479</v>
      </c>
      <c r="C73" s="227"/>
      <c r="D73" s="227"/>
      <c r="E73" s="227"/>
      <c r="F73" s="227"/>
      <c r="G73" s="227"/>
      <c r="H73" s="227"/>
      <c r="I73" s="227"/>
      <c r="J73" s="227"/>
      <c r="K73" s="227"/>
      <c r="L73" s="293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7"/>
      <c r="AB73" s="37">
        <f ca="1">PN2_73+0</f>
        <v>0</v>
      </c>
      <c r="AC73" s="2">
        <v>73</v>
      </c>
      <c r="AD73" s="7" t="s">
        <v>317</v>
      </c>
      <c r="AE73" s="7" t="s">
        <v>338</v>
      </c>
      <c r="AF73" s="7" t="s">
        <v>369</v>
      </c>
      <c r="AG73" s="7" t="b">
        <f ca="1">AND(PN1_7=TRUE,_P4&gt;_P5)</f>
        <v>0</v>
      </c>
      <c r="AH73" s="7" t="str">
        <f>"PN2_"&amp;AC73</f>
        <v>PN2_73</v>
      </c>
      <c r="AI73" s="45">
        <f ca="1">_PN3_470+0</f>
        <v>0</v>
      </c>
      <c r="AJ73" s="7">
        <v>470</v>
      </c>
      <c r="AK73" s="126" t="s">
        <v>590</v>
      </c>
      <c r="AL73" s="126" t="s">
        <v>590</v>
      </c>
      <c r="AM73" s="7" t="s">
        <v>448</v>
      </c>
      <c r="AN73" s="7" t="b">
        <f ca="1">PN2_47</f>
        <v>0</v>
      </c>
      <c r="AO73" s="47" t="str">
        <f t="shared" si="7"/>
        <v>PN3_470</v>
      </c>
      <c r="AZ73" s="222">
        <v>213</v>
      </c>
      <c r="BA73" s="223">
        <v>10.01</v>
      </c>
      <c r="BB73" s="223"/>
      <c r="BC73" s="223" t="b">
        <f ca="1">+AND(tip=AZ73,hektari&gt;=BA73,TRUE)</f>
        <v>0</v>
      </c>
      <c r="BD73" s="223">
        <v>170</v>
      </c>
    </row>
    <row r="74" spans="1:56" ht="15.75" thickTop="1" x14ac:dyDescent="0.25">
      <c r="A74" s="181"/>
      <c r="B74" s="257"/>
      <c r="C74" s="258"/>
      <c r="D74" s="258"/>
      <c r="E74" s="258"/>
      <c r="F74" s="258"/>
      <c r="G74" s="258"/>
      <c r="H74" s="258"/>
      <c r="I74" s="258"/>
      <c r="J74" s="258"/>
      <c r="K74" s="258"/>
      <c r="L74" s="287"/>
      <c r="M74" s="259"/>
      <c r="N74" s="258"/>
      <c r="O74" s="258"/>
      <c r="P74" s="258"/>
      <c r="Q74" s="258"/>
      <c r="R74" s="258"/>
      <c r="S74" s="259"/>
      <c r="T74" s="259"/>
      <c r="U74" s="258"/>
      <c r="V74" s="258"/>
      <c r="W74" s="258"/>
      <c r="X74" s="258"/>
      <c r="Y74" s="258"/>
      <c r="Z74" s="7"/>
      <c r="AB74" s="37">
        <f ca="1">PN2_74+0</f>
        <v>0</v>
      </c>
      <c r="AC74" s="2">
        <v>74</v>
      </c>
      <c r="AD74" s="7" t="s">
        <v>318</v>
      </c>
      <c r="AE74" s="7" t="s">
        <v>339</v>
      </c>
      <c r="AF74" s="7" t="s">
        <v>370</v>
      </c>
      <c r="AG74" s="7" t="b">
        <f ca="1">AND(PN1_7=TRUE,_P4&lt;=_P5)</f>
        <v>0</v>
      </c>
      <c r="AH74" s="7" t="str">
        <f t="shared" si="8"/>
        <v>PN2_74</v>
      </c>
      <c r="AI74" s="45">
        <f ca="1">_PN3_481+0</f>
        <v>0</v>
      </c>
      <c r="AJ74" s="7">
        <v>481</v>
      </c>
      <c r="AK74" s="126" t="s">
        <v>591</v>
      </c>
      <c r="AL74" s="126" t="s">
        <v>591</v>
      </c>
      <c r="AM74" s="7" t="s">
        <v>449</v>
      </c>
      <c r="AN74" s="7" t="b">
        <f ca="1">AND(PN2_48=TRUE,_3.03.01&gt;_GL*2/3,_GL&gt;_P4*1/10)</f>
        <v>0</v>
      </c>
      <c r="AO74" s="47" t="str">
        <f t="shared" si="7"/>
        <v>PN3_481</v>
      </c>
      <c r="AZ74" s="222">
        <v>163</v>
      </c>
      <c r="BA74" s="223">
        <v>0</v>
      </c>
      <c r="BB74" s="223">
        <v>1</v>
      </c>
      <c r="BC74" s="223" t="b">
        <f ca="1">+AND(tip=AZ74,hektari&gt;=BA74,hektari&lt;=BB74,TRUE)</f>
        <v>0</v>
      </c>
      <c r="BD74" s="223">
        <v>60</v>
      </c>
    </row>
    <row r="75" spans="1:56" x14ac:dyDescent="0.2">
      <c r="B75" s="7"/>
      <c r="C75" s="7"/>
      <c r="D75" s="7"/>
      <c r="E75" s="7"/>
      <c r="F75" s="7"/>
      <c r="G75" s="7"/>
      <c r="H75" s="7"/>
      <c r="I75" s="7"/>
      <c r="J75" s="7"/>
      <c r="K75" s="7"/>
      <c r="L75" s="292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B75" s="37">
        <f ca="1">PN2_83+0</f>
        <v>0</v>
      </c>
      <c r="AC75" s="2">
        <v>83</v>
      </c>
      <c r="AD75" s="7" t="s">
        <v>319</v>
      </c>
      <c r="AE75" s="7" t="s">
        <v>297</v>
      </c>
      <c r="AF75" s="7" t="s">
        <v>371</v>
      </c>
      <c r="AG75" s="7" t="b">
        <f ca="1">AND(PN1_8=TRUE,_P1&gt;_1T,_P4&gt;_1T)</f>
        <v>0</v>
      </c>
      <c r="AH75" s="7" t="str">
        <f t="shared" si="8"/>
        <v>PN2_83</v>
      </c>
      <c r="AI75" s="45">
        <f ca="1">_PN3_482+0</f>
        <v>0</v>
      </c>
      <c r="AJ75" s="7">
        <v>482</v>
      </c>
      <c r="AK75" s="125" t="s">
        <v>592</v>
      </c>
      <c r="AL75" s="125" t="s">
        <v>592</v>
      </c>
      <c r="AM75" s="7" t="s">
        <v>450</v>
      </c>
      <c r="AN75" s="7" t="b">
        <f ca="1">AND(PN2_48=TRUE,_P46&gt;_GL*1/3,_3.03.01&gt;_GL*1/3,_GL&gt;_P4*1/10)</f>
        <v>0</v>
      </c>
      <c r="AO75" s="47" t="str">
        <f t="shared" si="7"/>
        <v>PN3_482</v>
      </c>
      <c r="AZ75" s="222">
        <v>163</v>
      </c>
      <c r="BA75" s="223">
        <v>1.01</v>
      </c>
      <c r="BB75" s="223">
        <v>5</v>
      </c>
      <c r="BC75" s="223" t="b">
        <f ca="1">+AND(tip=AZ75,hektari&gt;=BA75,hektari&lt;=BB75,TRUE)</f>
        <v>0</v>
      </c>
      <c r="BD75" s="223">
        <v>80</v>
      </c>
    </row>
    <row r="76" spans="1:56" x14ac:dyDescent="0.2">
      <c r="B76" s="7"/>
      <c r="C76" s="7"/>
      <c r="D76" s="7"/>
      <c r="E76" s="7"/>
      <c r="F76" s="7"/>
      <c r="G76" s="7"/>
      <c r="H76" s="7"/>
      <c r="I76" s="7"/>
      <c r="J76" s="7"/>
      <c r="K76" s="7"/>
      <c r="L76" s="292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B76" s="37">
        <f ca="1">PN2_84+0</f>
        <v>0</v>
      </c>
      <c r="AC76" s="2">
        <v>84</v>
      </c>
      <c r="AD76" s="7" t="s">
        <v>320</v>
      </c>
      <c r="AE76" s="7" t="s">
        <v>340</v>
      </c>
      <c r="AF76" s="7" t="s">
        <v>372</v>
      </c>
      <c r="AG76" s="7" t="b">
        <f ca="1">AND(PN1_8=TRUE,PN2_83=FALSE)</f>
        <v>0</v>
      </c>
      <c r="AH76" s="7" t="str">
        <f>"PN2_"&amp;AC76</f>
        <v>PN2_84</v>
      </c>
      <c r="AI76" s="45">
        <f ca="1">_PN3_483+0</f>
        <v>0</v>
      </c>
      <c r="AJ76" s="7">
        <v>483</v>
      </c>
      <c r="AK76" s="125" t="s">
        <v>593</v>
      </c>
      <c r="AL76" s="125" t="s">
        <v>593</v>
      </c>
      <c r="AM76" s="7" t="s">
        <v>451</v>
      </c>
      <c r="AN76" s="7" t="b">
        <f ca="1">AND(PN2_48=TRUE,_3.03.02&gt;_GL*2/3,_GL&gt;_P4*1/10)</f>
        <v>0</v>
      </c>
      <c r="AO76" s="47" t="str">
        <f t="shared" si="7"/>
        <v>PN3_483</v>
      </c>
      <c r="AZ76" s="222">
        <v>163</v>
      </c>
      <c r="BA76" s="223">
        <v>5.01</v>
      </c>
      <c r="BB76" s="223">
        <v>10</v>
      </c>
      <c r="BC76" s="223" t="b">
        <f ca="1">+AND(tip=AZ76,hektari&gt;=BA76,hektari&lt;=BB76,TRUE)</f>
        <v>0</v>
      </c>
      <c r="BD76" s="223">
        <v>100</v>
      </c>
    </row>
    <row r="77" spans="1:56" ht="13.5" thickBot="1" x14ac:dyDescent="0.25">
      <c r="B77" s="7"/>
      <c r="C77" s="7"/>
      <c r="D77" s="7"/>
      <c r="E77" s="7"/>
      <c r="F77" s="7"/>
      <c r="G77" s="7"/>
      <c r="H77" s="7"/>
      <c r="I77" s="7"/>
      <c r="J77" s="7"/>
      <c r="K77" s="7"/>
      <c r="L77" s="292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B77" s="38">
        <f ca="1">PN2_90+0</f>
        <v>1</v>
      </c>
      <c r="AC77" s="39">
        <v>90</v>
      </c>
      <c r="AD77" s="39" t="s">
        <v>321</v>
      </c>
      <c r="AE77" s="39" t="s">
        <v>298</v>
      </c>
      <c r="AF77" s="39" t="s">
        <v>353</v>
      </c>
      <c r="AG77" s="39" t="b">
        <f ca="1">PN1_9</f>
        <v>1</v>
      </c>
      <c r="AH77" s="39" t="str">
        <f>"PN2_"&amp;AC77</f>
        <v>PN2_90</v>
      </c>
      <c r="AI77" s="45">
        <f ca="1">_PN3_484+0</f>
        <v>0</v>
      </c>
      <c r="AJ77" s="7">
        <v>484</v>
      </c>
      <c r="AK77" s="125" t="s">
        <v>594</v>
      </c>
      <c r="AL77" s="125" t="s">
        <v>594</v>
      </c>
      <c r="AM77" s="7" t="s">
        <v>452</v>
      </c>
      <c r="AN77" s="7" t="b">
        <f ca="1">AND(PN2_48=TRUE,_PN3_481=FALSE,_PN3_482=FALSE,_PN3_483=FALSE)</f>
        <v>0</v>
      </c>
      <c r="AO77" s="47" t="str">
        <f t="shared" si="7"/>
        <v>PN3_484</v>
      </c>
      <c r="AZ77" s="222">
        <v>163</v>
      </c>
      <c r="BA77" s="223">
        <v>10.01</v>
      </c>
      <c r="BB77" s="223">
        <v>50</v>
      </c>
      <c r="BC77" s="223" t="b">
        <f ca="1">+AND(tip=AZ77,hektari&gt;=BA77,hektari&lt;=BB77,TRUE)</f>
        <v>0</v>
      </c>
      <c r="BD77" s="223">
        <v>170</v>
      </c>
    </row>
    <row r="78" spans="1:56" ht="13.5" thickTop="1" x14ac:dyDescent="0.2">
      <c r="M78"/>
      <c r="U78" s="7"/>
      <c r="V78" s="7"/>
      <c r="W78" s="7"/>
      <c r="X78" s="7"/>
      <c r="Y78" s="7"/>
      <c r="Z78" s="7"/>
      <c r="AI78" s="45">
        <f ca="1">_PN3_511+0</f>
        <v>0</v>
      </c>
      <c r="AJ78" s="7">
        <v>511</v>
      </c>
      <c r="AK78" s="125" t="s">
        <v>595</v>
      </c>
      <c r="AL78" s="125" t="s">
        <v>595</v>
      </c>
      <c r="AM78" s="7" t="s">
        <v>453</v>
      </c>
      <c r="AN78" s="7" t="b">
        <f ca="1">AND(PN2_51=TRUE,_3.04.02&gt;_2T)</f>
        <v>0</v>
      </c>
      <c r="AO78" s="47" t="str">
        <f t="shared" si="7"/>
        <v>PN3_511</v>
      </c>
      <c r="AZ78" s="222">
        <v>163</v>
      </c>
      <c r="BA78" s="223">
        <v>50.01</v>
      </c>
      <c r="BB78" s="223"/>
      <c r="BC78" s="223" t="b">
        <f ca="1">+AND(tip=AZ78,hektari&gt;=BA78,TRUE)</f>
        <v>0</v>
      </c>
      <c r="BD78" s="223">
        <v>200</v>
      </c>
    </row>
    <row r="79" spans="1:56" x14ac:dyDescent="0.2">
      <c r="M79"/>
      <c r="AI79" s="45">
        <f ca="1">_PN3_512+0</f>
        <v>0</v>
      </c>
      <c r="AJ79" s="7">
        <v>512</v>
      </c>
      <c r="AK79" s="125" t="s">
        <v>596</v>
      </c>
      <c r="AL79" s="125" t="s">
        <v>596</v>
      </c>
      <c r="AM79" s="7" t="s">
        <v>454</v>
      </c>
      <c r="AN79" s="7" t="b">
        <f ca="1">AND(PN2_51=TRUE,_3.04.01+_3.04.99&gt;_2T)</f>
        <v>0</v>
      </c>
      <c r="AO79" s="47" t="str">
        <f t="shared" si="7"/>
        <v>PN3_512</v>
      </c>
      <c r="AZ79" s="222">
        <v>221</v>
      </c>
      <c r="BA79" s="223">
        <v>0</v>
      </c>
      <c r="BB79" s="223">
        <v>1</v>
      </c>
      <c r="BC79" s="223" t="b">
        <f ca="1">+AND(tip=AZ79,hektari&gt;=BA79,hektari&lt;=BB79,TRUE)</f>
        <v>0</v>
      </c>
      <c r="BD79" s="223">
        <v>60</v>
      </c>
    </row>
    <row r="80" spans="1:56" x14ac:dyDescent="0.2">
      <c r="M80"/>
      <c r="AI80" s="45">
        <f ca="1">_PN3_513+0</f>
        <v>0</v>
      </c>
      <c r="AJ80" s="7">
        <v>513</v>
      </c>
      <c r="AK80" s="125" t="s">
        <v>597</v>
      </c>
      <c r="AL80" s="125" t="s">
        <v>597</v>
      </c>
      <c r="AM80" s="7" t="s">
        <v>455</v>
      </c>
      <c r="AN80" s="7" t="b">
        <f ca="1">AND(PN2_51=TRUE,_PN3_511=FALSE,_PN3_512=FALSE)</f>
        <v>0</v>
      </c>
      <c r="AO80" s="47" t="str">
        <f t="shared" si="7"/>
        <v>PN3_513</v>
      </c>
      <c r="AZ80" s="222">
        <v>221</v>
      </c>
      <c r="BA80" s="223">
        <v>1.01</v>
      </c>
      <c r="BB80" s="223">
        <v>5</v>
      </c>
      <c r="BC80" s="223" t="b">
        <f ca="1">+AND(tip=AZ80,hektari&gt;=BA80,hektari&lt;=BB80,TRUE)</f>
        <v>0</v>
      </c>
      <c r="BD80" s="223">
        <v>80</v>
      </c>
    </row>
    <row r="81" spans="13:56" x14ac:dyDescent="0.2">
      <c r="M81"/>
      <c r="AC81" s="79" t="str">
        <f>"0"</f>
        <v>0</v>
      </c>
      <c r="AI81" s="45">
        <f ca="1">_PN3_521+0</f>
        <v>0</v>
      </c>
      <c r="AJ81" s="7">
        <v>521</v>
      </c>
      <c r="AK81" s="125" t="s">
        <v>598</v>
      </c>
      <c r="AL81" s="125" t="s">
        <v>598</v>
      </c>
      <c r="AM81" s="7" t="s">
        <v>456</v>
      </c>
      <c r="AN81" s="7" t="b">
        <f ca="1">AND(PN2_52=TRUE,_3.05.02&gt;_2T)</f>
        <v>0</v>
      </c>
      <c r="AO81" s="47" t="str">
        <f t="shared" si="7"/>
        <v>PN3_521</v>
      </c>
      <c r="AZ81" s="222">
        <v>221</v>
      </c>
      <c r="BA81" s="223">
        <v>5.01</v>
      </c>
      <c r="BB81" s="223">
        <v>10</v>
      </c>
      <c r="BC81" s="223" t="b">
        <f ca="1">+AND(tip=AZ81,hektari&gt;=BA81,hektari&lt;=BB81,TRUE)</f>
        <v>0</v>
      </c>
      <c r="BD81" s="223">
        <v>100</v>
      </c>
    </row>
    <row r="82" spans="13:56" x14ac:dyDescent="0.2">
      <c r="M82"/>
      <c r="AC82" s="3">
        <v>1</v>
      </c>
      <c r="AI82" s="45">
        <f ca="1">_PN3_522+0</f>
        <v>0</v>
      </c>
      <c r="AJ82" s="7">
        <v>522</v>
      </c>
      <c r="AK82" s="125" t="s">
        <v>599</v>
      </c>
      <c r="AL82" s="125" t="s">
        <v>599</v>
      </c>
      <c r="AM82" s="7" t="s">
        <v>457</v>
      </c>
      <c r="AN82" s="7" t="b">
        <f ca="1">AND(PN2_52=TRUE,_3.05.01+_3.05.03&gt;_2T)</f>
        <v>0</v>
      </c>
      <c r="AO82" s="47" t="str">
        <f t="shared" si="7"/>
        <v>PN3_522</v>
      </c>
      <c r="AZ82" s="222">
        <v>221</v>
      </c>
      <c r="BA82" s="223">
        <v>10.01</v>
      </c>
      <c r="BB82" s="223">
        <v>50</v>
      </c>
      <c r="BC82" s="223" t="b">
        <f ca="1">+AND(tip=AZ82,hektari&gt;=BA82,hektari&lt;=BB82,TRUE)</f>
        <v>0</v>
      </c>
      <c r="BD82" s="223">
        <v>170</v>
      </c>
    </row>
    <row r="83" spans="13:56" ht="13.5" thickBot="1" x14ac:dyDescent="0.25">
      <c r="M83"/>
      <c r="N83" s="166"/>
      <c r="AC83" s="3">
        <v>2</v>
      </c>
      <c r="AI83" s="45">
        <f ca="1">_PN3_523+0</f>
        <v>0</v>
      </c>
      <c r="AJ83" s="7">
        <v>523</v>
      </c>
      <c r="AK83" s="125" t="s">
        <v>600</v>
      </c>
      <c r="AL83" s="125" t="s">
        <v>600</v>
      </c>
      <c r="AM83" s="7" t="s">
        <v>458</v>
      </c>
      <c r="AN83" s="7" t="b">
        <f ca="1">AND(PN2_52=TRUE,_PN3_521=FALSE,_PN3_522=FALSE)</f>
        <v>0</v>
      </c>
      <c r="AO83" s="47" t="str">
        <f t="shared" ref="AO83:AO103" si="9">"PN3_"&amp;AJ83</f>
        <v>PN3_523</v>
      </c>
      <c r="AZ83" s="222">
        <v>221</v>
      </c>
      <c r="BA83" s="223">
        <v>50.01</v>
      </c>
      <c r="BB83" s="223"/>
      <c r="BC83" s="223" t="b">
        <f ca="1">+AND(tip=AZ83,hektari&gt;=BA83,TRUE)</f>
        <v>0</v>
      </c>
      <c r="BD83" s="223">
        <v>200</v>
      </c>
    </row>
    <row r="84" spans="13:56" ht="13.5" thickTop="1" x14ac:dyDescent="0.2">
      <c r="M84"/>
      <c r="AA84" s="258"/>
      <c r="AB84" s="258"/>
      <c r="AC84" s="258"/>
      <c r="AI84" s="45">
        <f ca="1">_PN3_530+0</f>
        <v>0</v>
      </c>
      <c r="AJ84" s="7">
        <v>530</v>
      </c>
      <c r="AK84" s="126" t="s">
        <v>316</v>
      </c>
      <c r="AL84" s="126" t="s">
        <v>316</v>
      </c>
      <c r="AM84" s="7" t="s">
        <v>731</v>
      </c>
      <c r="AN84" s="7" t="b">
        <f ca="1">PN2_53</f>
        <v>0</v>
      </c>
      <c r="AO84" s="47" t="str">
        <f t="shared" si="9"/>
        <v>PN3_530</v>
      </c>
      <c r="AZ84" s="222">
        <v>222</v>
      </c>
      <c r="BA84" s="223">
        <v>0</v>
      </c>
      <c r="BB84" s="223">
        <v>1</v>
      </c>
      <c r="BC84" s="223" t="b">
        <f ca="1">+AND(tip=AZ84,hektari&gt;=BA84,hektari&lt;=BB84,TRUE)</f>
        <v>0</v>
      </c>
      <c r="BD84" s="223">
        <v>60</v>
      </c>
    </row>
    <row r="85" spans="13:56" x14ac:dyDescent="0.2">
      <c r="M85"/>
      <c r="AI85" s="45">
        <f ca="1">_PN3_611+0</f>
        <v>0</v>
      </c>
      <c r="AJ85" s="7">
        <v>611</v>
      </c>
      <c r="AK85" s="125" t="s">
        <v>601</v>
      </c>
      <c r="AL85" s="125" t="s">
        <v>601</v>
      </c>
      <c r="AM85" s="7" t="s">
        <v>460</v>
      </c>
      <c r="AN85" s="7" t="b">
        <f ca="1">AND(PN2_61=TRUE,_P2&gt;_1T,_P3&gt;_1T)</f>
        <v>0</v>
      </c>
      <c r="AO85" s="47" t="str">
        <f t="shared" si="9"/>
        <v>PN3_611</v>
      </c>
      <c r="AZ85" s="222">
        <v>222</v>
      </c>
      <c r="BA85" s="223">
        <v>1.01</v>
      </c>
      <c r="BB85" s="223">
        <v>5</v>
      </c>
      <c r="BC85" s="223" t="b">
        <f ca="1">+AND(tip=AZ85,hektari&gt;=BA85,hektari&lt;=BB85,TRUE)</f>
        <v>0</v>
      </c>
      <c r="BD85" s="223">
        <v>80</v>
      </c>
    </row>
    <row r="86" spans="13:56" x14ac:dyDescent="0.2">
      <c r="M86"/>
      <c r="AC86" s="3" t="s">
        <v>162</v>
      </c>
      <c r="AG86" s="3" t="b">
        <f ca="1">ISERROR(_ES14_NAME)</f>
        <v>1</v>
      </c>
      <c r="AI86" s="45">
        <f ca="1">_PN3_612+0</f>
        <v>0</v>
      </c>
      <c r="AJ86" s="7">
        <v>612</v>
      </c>
      <c r="AK86" s="125" t="s">
        <v>602</v>
      </c>
      <c r="AL86" s="125" t="s">
        <v>602</v>
      </c>
      <c r="AM86" s="7" t="s">
        <v>461</v>
      </c>
      <c r="AN86" s="7" t="b">
        <f ca="1">AND(PN2_61=TRUE,_P2&gt;_1T,_P1&gt;_1T)</f>
        <v>0</v>
      </c>
      <c r="AO86" s="47" t="str">
        <f t="shared" si="9"/>
        <v>PN3_612</v>
      </c>
      <c r="AZ86" s="222">
        <v>222</v>
      </c>
      <c r="BA86" s="223">
        <v>5.01</v>
      </c>
      <c r="BB86" s="223">
        <v>10</v>
      </c>
      <c r="BC86" s="223" t="b">
        <f ca="1">+AND(tip=AZ86,hektari&gt;=BA86,hektari&lt;=BB86,TRUE)</f>
        <v>0</v>
      </c>
      <c r="BD86" s="223">
        <v>100</v>
      </c>
    </row>
    <row r="87" spans="13:56" x14ac:dyDescent="0.2">
      <c r="M87"/>
      <c r="AC87" s="3" t="s">
        <v>342</v>
      </c>
      <c r="AG87" s="3" t="e">
        <f ca="1">_ES14_NAME</f>
        <v>#N/A</v>
      </c>
      <c r="AI87" s="45">
        <f ca="1">_PN3_613+0</f>
        <v>0</v>
      </c>
      <c r="AJ87" s="7">
        <v>613</v>
      </c>
      <c r="AK87" s="125" t="s">
        <v>603</v>
      </c>
      <c r="AL87" s="125" t="s">
        <v>603</v>
      </c>
      <c r="AM87" s="7" t="s">
        <v>462</v>
      </c>
      <c r="AN87" s="7" t="b">
        <f ca="1">AND(PN2_61=TRUE,_P1&gt;_1T,_2.04.04&gt;_1T)</f>
        <v>0</v>
      </c>
      <c r="AO87" s="47" t="str">
        <f t="shared" si="9"/>
        <v>PN3_613</v>
      </c>
      <c r="AZ87" s="222">
        <v>222</v>
      </c>
      <c r="BA87" s="223">
        <v>10.01</v>
      </c>
      <c r="BB87" s="223">
        <v>50</v>
      </c>
      <c r="BC87" s="223" t="b">
        <f ca="1">+AND(tip=AZ87,hektari&gt;=BA87,hektari&lt;=BB87,TRUE)</f>
        <v>0</v>
      </c>
      <c r="BD87" s="223">
        <v>170</v>
      </c>
    </row>
    <row r="88" spans="13:56" ht="13.5" thickBot="1" x14ac:dyDescent="0.25">
      <c r="M88"/>
      <c r="AC88" s="3" t="s">
        <v>341</v>
      </c>
      <c r="AG88" s="21" t="e">
        <f ca="1">VLOOKUP(1,ES_14,2,FALSE)</f>
        <v>#N/A</v>
      </c>
      <c r="AI88" s="45">
        <f ca="1">_PN3_614+0</f>
        <v>0</v>
      </c>
      <c r="AJ88" s="7">
        <v>614</v>
      </c>
      <c r="AK88" s="125" t="s">
        <v>604</v>
      </c>
      <c r="AL88" s="125" t="s">
        <v>604</v>
      </c>
      <c r="AM88" s="7" t="s">
        <v>463</v>
      </c>
      <c r="AN88" s="7" t="b">
        <f ca="1">AND(PN2_61=TRUE,_P1&gt;_1T,_P3&gt;_1T,_2.04.04&lt;=_1T)</f>
        <v>0</v>
      </c>
      <c r="AO88" s="47" t="str">
        <f t="shared" si="9"/>
        <v>PN3_614</v>
      </c>
      <c r="AZ88" s="222">
        <v>222</v>
      </c>
      <c r="BA88" s="223">
        <v>50.01</v>
      </c>
      <c r="BB88" s="223"/>
      <c r="BC88" s="223" t="b">
        <f ca="1">+AND(tip=AZ88,hektari&gt;=BA88,TRUE)</f>
        <v>0</v>
      </c>
      <c r="BD88" s="223">
        <v>200</v>
      </c>
    </row>
    <row r="89" spans="13:56" ht="13.5" thickTop="1" x14ac:dyDescent="0.2">
      <c r="M89"/>
      <c r="AB89" s="52"/>
      <c r="AC89" s="53"/>
      <c r="AD89" s="53"/>
      <c r="AE89" s="53"/>
      <c r="AF89" s="53"/>
      <c r="AG89" s="53"/>
      <c r="AH89" s="54"/>
      <c r="AI89" s="7">
        <f ca="1">_PN3_615+0</f>
        <v>0</v>
      </c>
      <c r="AJ89" s="7">
        <v>615</v>
      </c>
      <c r="AK89" s="125" t="s">
        <v>605</v>
      </c>
      <c r="AL89" s="125" t="s">
        <v>605</v>
      </c>
      <c r="AM89" s="7" t="s">
        <v>464</v>
      </c>
      <c r="AN89" s="7" t="b">
        <f ca="1">AND(PN2_61=TRUE,_P1&gt;_1T,_P2&lt;=_1T,_P3&lt;=_1T)</f>
        <v>0</v>
      </c>
      <c r="AO89" s="47" t="str">
        <f t="shared" si="9"/>
        <v>PN3_615</v>
      </c>
      <c r="AZ89" s="222">
        <v>223</v>
      </c>
      <c r="BA89" s="223">
        <v>0</v>
      </c>
      <c r="BB89" s="223">
        <v>1</v>
      </c>
      <c r="BC89" s="223" t="b">
        <f ca="1">+AND(tip=AZ89,hektari&gt;=BA89,hektari&lt;=BB89,TRUE)</f>
        <v>0</v>
      </c>
      <c r="BD89" s="223">
        <v>60</v>
      </c>
    </row>
    <row r="90" spans="13:56" x14ac:dyDescent="0.2">
      <c r="M90"/>
      <c r="N90" s="166"/>
      <c r="AB90" s="55">
        <f ca="1">ES14_1+0</f>
        <v>0</v>
      </c>
      <c r="AC90" s="7">
        <v>1</v>
      </c>
      <c r="AD90" s="7">
        <v>0</v>
      </c>
      <c r="AE90" s="7">
        <v>2000</v>
      </c>
      <c r="AF90" s="7" t="s">
        <v>640</v>
      </c>
      <c r="AG90" s="7" t="b">
        <f ca="1">AND((TSO*tx)&lt;&gt;0,(TSO*tx)&lt;AE90)</f>
        <v>0</v>
      </c>
      <c r="AH90" s="56" t="s">
        <v>375</v>
      </c>
      <c r="AI90" s="7">
        <f ca="1">_PN3_616+0</f>
        <v>0</v>
      </c>
      <c r="AJ90" s="7">
        <v>616</v>
      </c>
      <c r="AK90" s="125" t="s">
        <v>606</v>
      </c>
      <c r="AL90" s="125" t="s">
        <v>606</v>
      </c>
      <c r="AM90" s="7" t="s">
        <v>465</v>
      </c>
      <c r="AN90" s="7" t="b">
        <f ca="1">AND(PN2_61=TRUE,_PN3_611=FALSE,_PN3_612=FALSE,_PN3_613=FALSE,_PN3_614=FALSE,_PN3_615=FALSE)</f>
        <v>0</v>
      </c>
      <c r="AO90" s="47" t="str">
        <f t="shared" si="9"/>
        <v>PN3_616</v>
      </c>
      <c r="AZ90" s="222">
        <v>223</v>
      </c>
      <c r="BA90" s="223">
        <v>1.01</v>
      </c>
      <c r="BB90" s="223">
        <v>5</v>
      </c>
      <c r="BC90" s="223" t="b">
        <f ca="1">+AND(tip=AZ90,hektari&gt;=BA90,hektari&lt;=BB90,TRUE)</f>
        <v>0</v>
      </c>
      <c r="BD90" s="223">
        <v>80</v>
      </c>
    </row>
    <row r="91" spans="13:56" x14ac:dyDescent="0.2">
      <c r="M91"/>
      <c r="AB91" s="55">
        <f ca="1">ES14_2+0</f>
        <v>0</v>
      </c>
      <c r="AC91" s="7">
        <v>2</v>
      </c>
      <c r="AD91" s="7">
        <v>2001</v>
      </c>
      <c r="AE91" s="7">
        <v>4000</v>
      </c>
      <c r="AF91" s="7" t="s">
        <v>626</v>
      </c>
      <c r="AG91" s="7" t="b">
        <f ca="1">AND(TSO*tx&gt;=AD91,TSO*tx&lt;AE91)</f>
        <v>0</v>
      </c>
      <c r="AH91" s="56" t="s">
        <v>376</v>
      </c>
      <c r="AI91" s="7">
        <f ca="1">_PN3_731+0</f>
        <v>0</v>
      </c>
      <c r="AJ91" s="7">
        <v>731</v>
      </c>
      <c r="AK91" s="125" t="s">
        <v>607</v>
      </c>
      <c r="AL91" s="125" t="s">
        <v>607</v>
      </c>
      <c r="AM91" s="7" t="s">
        <v>466</v>
      </c>
      <c r="AN91" s="7" t="b">
        <f ca="1">AND(PN2_73=TRUE,_P45&gt;_GL*1/3,_3.02.06&gt;_P45*1/2)</f>
        <v>0</v>
      </c>
      <c r="AO91" s="47" t="str">
        <f t="shared" si="9"/>
        <v>PN3_731</v>
      </c>
      <c r="AZ91" s="222">
        <v>223</v>
      </c>
      <c r="BA91" s="223">
        <v>5.01</v>
      </c>
      <c r="BB91" s="223">
        <v>10</v>
      </c>
      <c r="BC91" s="223" t="b">
        <f ca="1">+AND(tip=AZ91,hektari&gt;=BA91,hektari&lt;=BB91,TRUE)</f>
        <v>0</v>
      </c>
      <c r="BD91" s="223">
        <v>100</v>
      </c>
    </row>
    <row r="92" spans="13:56" x14ac:dyDescent="0.2">
      <c r="M92"/>
      <c r="AB92" s="55">
        <f ca="1">ES14_3+0</f>
        <v>0</v>
      </c>
      <c r="AC92" s="7">
        <v>3</v>
      </c>
      <c r="AD92" s="7">
        <v>4001</v>
      </c>
      <c r="AE92" s="7">
        <v>8000</v>
      </c>
      <c r="AF92" s="7" t="s">
        <v>627</v>
      </c>
      <c r="AG92" s="7" t="b">
        <f t="shared" ref="AG92:AG101" ca="1" si="10">AND(TSO*tx&gt;=AD92,TSO*tx&lt;AE92)</f>
        <v>0</v>
      </c>
      <c r="AH92" s="56" t="s">
        <v>377</v>
      </c>
      <c r="AI92" s="7">
        <f ca="1">_PN3_732+0</f>
        <v>0</v>
      </c>
      <c r="AJ92" s="7">
        <v>732</v>
      </c>
      <c r="AK92" s="125" t="s">
        <v>608</v>
      </c>
      <c r="AL92" s="125" t="s">
        <v>608</v>
      </c>
      <c r="AM92" s="7" t="s">
        <v>467</v>
      </c>
      <c r="AN92" s="7" t="b">
        <f ca="1">AND(PN2_73=TRUE,_PN3_731=FALSE )</f>
        <v>0</v>
      </c>
      <c r="AO92" s="47" t="str">
        <f t="shared" si="9"/>
        <v>PN3_732</v>
      </c>
      <c r="AQ92" s="164" t="s">
        <v>697</v>
      </c>
      <c r="AZ92" s="222">
        <v>223</v>
      </c>
      <c r="BA92" s="223">
        <v>10.01</v>
      </c>
      <c r="BB92" s="223">
        <v>50</v>
      </c>
      <c r="BC92" s="223" t="b">
        <f ca="1">+AND(tip=AZ92,hektari&gt;=BA92,hektari&lt;=BB92,TRUE)</f>
        <v>0</v>
      </c>
      <c r="BD92" s="223">
        <v>170</v>
      </c>
    </row>
    <row r="93" spans="13:56" x14ac:dyDescent="0.2">
      <c r="M93"/>
      <c r="AB93" s="55">
        <f ca="1">ES14_4+0</f>
        <v>0</v>
      </c>
      <c r="AC93" s="7">
        <v>4</v>
      </c>
      <c r="AD93" s="7">
        <v>8001</v>
      </c>
      <c r="AE93" s="7">
        <v>15000</v>
      </c>
      <c r="AF93" s="7" t="s">
        <v>628</v>
      </c>
      <c r="AG93" s="7" t="b">
        <f t="shared" ca="1" si="10"/>
        <v>0</v>
      </c>
      <c r="AH93" s="56" t="s">
        <v>378</v>
      </c>
      <c r="AI93" s="7">
        <f ca="1">_PN3_741+0</f>
        <v>0</v>
      </c>
      <c r="AJ93" s="7">
        <v>741</v>
      </c>
      <c r="AK93" s="125" t="s">
        <v>609</v>
      </c>
      <c r="AL93" s="125" t="s">
        <v>609</v>
      </c>
      <c r="AM93" s="7" t="s">
        <v>468</v>
      </c>
      <c r="AN93" s="7" t="b">
        <f ca="1">AND(PN2_74=TRUE,_P5&gt;_1T,_P45&gt;_GL*1/3,_3.02.06&gt;_P45*1/2)</f>
        <v>0</v>
      </c>
      <c r="AO93" s="47" t="str">
        <f t="shared" si="9"/>
        <v>PN3_741</v>
      </c>
      <c r="AZ93" s="222">
        <v>223</v>
      </c>
      <c r="BA93" s="223">
        <v>50.01</v>
      </c>
      <c r="BB93" s="223"/>
      <c r="BC93" s="223" t="b">
        <f ca="1">+AND(tip=AZ93,hektari&gt;=BA93,TRUE)</f>
        <v>0</v>
      </c>
      <c r="BD93" s="223">
        <v>200</v>
      </c>
    </row>
    <row r="94" spans="13:56" x14ac:dyDescent="0.2">
      <c r="M94" s="1"/>
      <c r="AB94" s="55">
        <f ca="1">ES14_5+0</f>
        <v>0</v>
      </c>
      <c r="AC94" s="7">
        <v>5</v>
      </c>
      <c r="AD94" s="7">
        <v>15001</v>
      </c>
      <c r="AE94" s="7">
        <v>25000</v>
      </c>
      <c r="AF94" s="7" t="s">
        <v>629</v>
      </c>
      <c r="AG94" s="7" t="b">
        <f t="shared" ca="1" si="10"/>
        <v>0</v>
      </c>
      <c r="AH94" s="56" t="s">
        <v>379</v>
      </c>
      <c r="AI94" s="7">
        <f ca="1">_PN3_742+0</f>
        <v>0</v>
      </c>
      <c r="AJ94" s="7">
        <v>742</v>
      </c>
      <c r="AK94" s="125" t="s">
        <v>610</v>
      </c>
      <c r="AL94" s="125" t="s">
        <v>610</v>
      </c>
      <c r="AM94" s="7" t="s">
        <v>469</v>
      </c>
      <c r="AN94" s="7" t="b">
        <f ca="1">AND(PN2_74=TRUE,_PN3_741=FALSE)</f>
        <v>0</v>
      </c>
      <c r="AO94" s="47" t="str">
        <f t="shared" si="9"/>
        <v>PN3_742</v>
      </c>
      <c r="AZ94" s="222">
        <v>231</v>
      </c>
      <c r="BA94" s="223">
        <v>0</v>
      </c>
      <c r="BB94" s="223">
        <v>1</v>
      </c>
      <c r="BC94" s="223" t="b">
        <f ca="1">+AND(tip=AZ94,hektari&gt;=BA94,hektari&lt;=BB94,TRUE)</f>
        <v>0</v>
      </c>
      <c r="BD94" s="223">
        <v>60</v>
      </c>
    </row>
    <row r="95" spans="13:56" x14ac:dyDescent="0.2">
      <c r="M95" s="1"/>
      <c r="AB95" s="55">
        <f ca="1">ES14_6+0</f>
        <v>0</v>
      </c>
      <c r="AC95" s="7">
        <v>6</v>
      </c>
      <c r="AD95" s="7">
        <v>25001</v>
      </c>
      <c r="AE95" s="7">
        <v>50000</v>
      </c>
      <c r="AF95" s="7" t="s">
        <v>630</v>
      </c>
      <c r="AG95" s="7" t="b">
        <f t="shared" ca="1" si="10"/>
        <v>0</v>
      </c>
      <c r="AH95" s="56" t="s">
        <v>380</v>
      </c>
      <c r="AI95" s="7">
        <f ca="1">_PN3_831+0</f>
        <v>0</v>
      </c>
      <c r="AJ95" s="7">
        <v>831</v>
      </c>
      <c r="AK95" s="125" t="s">
        <v>611</v>
      </c>
      <c r="AL95" s="125" t="s">
        <v>611</v>
      </c>
      <c r="AM95" s="7" t="s">
        <v>470</v>
      </c>
      <c r="AN95" s="7" t="b">
        <f ca="1">AND(PN2_83=TRUE,_P45&gt;_GL*1/3,_3.02.06&gt;_P45*1/2,_P45&lt;_P1)</f>
        <v>0</v>
      </c>
      <c r="AO95" s="47" t="str">
        <f t="shared" si="9"/>
        <v>PN3_831</v>
      </c>
      <c r="AZ95" s="222">
        <v>231</v>
      </c>
      <c r="BA95" s="223">
        <v>1.01</v>
      </c>
      <c r="BB95" s="223">
        <v>5</v>
      </c>
      <c r="BC95" s="223" t="b">
        <f ca="1">+AND(tip=AZ95,hektari&gt;=BA95,hektari&lt;=BB95,TRUE)</f>
        <v>0</v>
      </c>
      <c r="BD95" s="223">
        <v>80</v>
      </c>
    </row>
    <row r="96" spans="13:56" x14ac:dyDescent="0.2">
      <c r="M96" s="1"/>
      <c r="AB96" s="55">
        <f ca="1">ES14_7+0</f>
        <v>0</v>
      </c>
      <c r="AC96" s="7">
        <v>7</v>
      </c>
      <c r="AD96" s="7">
        <v>50001</v>
      </c>
      <c r="AE96" s="7">
        <v>100000</v>
      </c>
      <c r="AF96" s="7" t="s">
        <v>631</v>
      </c>
      <c r="AG96" s="7" t="b">
        <f t="shared" ca="1" si="10"/>
        <v>0</v>
      </c>
      <c r="AH96" s="56" t="s">
        <v>381</v>
      </c>
      <c r="AI96" s="7">
        <f ca="1">_PN3_832+0</f>
        <v>0</v>
      </c>
      <c r="AJ96" s="7">
        <v>832</v>
      </c>
      <c r="AK96" s="125" t="s">
        <v>612</v>
      </c>
      <c r="AL96" s="125" t="s">
        <v>612</v>
      </c>
      <c r="AM96" s="7" t="s">
        <v>471</v>
      </c>
      <c r="AN96" s="7" t="b">
        <f ca="1">AND(PN2_83=TRUE,_P45&gt;_GL*1/3,_3.02.06&gt;_P45*1/2,_P45&gt;=_P1)</f>
        <v>0</v>
      </c>
      <c r="AO96" s="47" t="str">
        <f t="shared" si="9"/>
        <v>PN3_832</v>
      </c>
      <c r="AZ96" s="222">
        <v>231</v>
      </c>
      <c r="BA96" s="223">
        <v>5.01</v>
      </c>
      <c r="BB96" s="223">
        <v>10</v>
      </c>
      <c r="BC96" s="223" t="b">
        <f ca="1">+AND(tip=AZ96,hektari&gt;=BA96,hektari&lt;=BB96,TRUE)</f>
        <v>0</v>
      </c>
      <c r="BD96" s="223">
        <v>100</v>
      </c>
    </row>
    <row r="97" spans="3:56" x14ac:dyDescent="0.2">
      <c r="M97" s="1"/>
      <c r="AB97" s="55">
        <f ca="1">ES14_8+0</f>
        <v>0</v>
      </c>
      <c r="AC97" s="7">
        <v>8</v>
      </c>
      <c r="AD97" s="7">
        <v>100001</v>
      </c>
      <c r="AE97" s="7">
        <v>250000</v>
      </c>
      <c r="AF97" s="7" t="s">
        <v>632</v>
      </c>
      <c r="AG97" s="7" t="b">
        <f t="shared" ca="1" si="10"/>
        <v>0</v>
      </c>
      <c r="AH97" s="56" t="s">
        <v>382</v>
      </c>
      <c r="AI97" s="7">
        <f ca="1">_PN3_833+0</f>
        <v>0</v>
      </c>
      <c r="AJ97" s="7">
        <v>833</v>
      </c>
      <c r="AK97" s="125" t="s">
        <v>613</v>
      </c>
      <c r="AL97" s="125" t="s">
        <v>613</v>
      </c>
      <c r="AM97" s="7" t="s">
        <v>472</v>
      </c>
      <c r="AN97" s="7" t="b">
        <f ca="1">AND(PN2_83=TRUE,_P4&lt;_P1,_PN3_831=FALSE)</f>
        <v>0</v>
      </c>
      <c r="AO97" s="47" t="str">
        <f t="shared" si="9"/>
        <v>PN3_833</v>
      </c>
      <c r="AZ97" s="222">
        <v>231</v>
      </c>
      <c r="BA97" s="223">
        <v>10.01</v>
      </c>
      <c r="BB97" s="223">
        <v>50</v>
      </c>
      <c r="BC97" s="223" t="b">
        <f ca="1">+AND(tip=AZ97,hektari&gt;=BA97,hektari&lt;=BB97,TRUE)</f>
        <v>0</v>
      </c>
      <c r="BD97" s="223">
        <v>170</v>
      </c>
    </row>
    <row r="98" spans="3:56" x14ac:dyDescent="0.2">
      <c r="M98" s="1"/>
      <c r="AB98" s="55">
        <f ca="1">ES14_9+0</f>
        <v>0</v>
      </c>
      <c r="AC98" s="7">
        <v>9</v>
      </c>
      <c r="AD98" s="7">
        <v>250001</v>
      </c>
      <c r="AE98" s="7">
        <v>500000</v>
      </c>
      <c r="AF98" s="7" t="s">
        <v>633</v>
      </c>
      <c r="AG98" s="7" t="b">
        <f t="shared" ca="1" si="10"/>
        <v>0</v>
      </c>
      <c r="AH98" s="56" t="s">
        <v>383</v>
      </c>
      <c r="AI98" s="7">
        <f ca="1">_PN3_834+0</f>
        <v>0</v>
      </c>
      <c r="AJ98" s="7">
        <v>834</v>
      </c>
      <c r="AK98" s="125" t="s">
        <v>614</v>
      </c>
      <c r="AL98" s="125" t="s">
        <v>614</v>
      </c>
      <c r="AM98" s="7" t="s">
        <v>473</v>
      </c>
      <c r="AN98" s="7" t="b">
        <f ca="1">AND(PN2_83=TRUE,_PN3_831=FALSE,_PN3_832=FALSE,_PN3_833=FALSE)</f>
        <v>0</v>
      </c>
      <c r="AO98" s="47" t="str">
        <f t="shared" si="9"/>
        <v>PN3_834</v>
      </c>
      <c r="AZ98" s="222">
        <v>231</v>
      </c>
      <c r="BA98" s="223">
        <v>50.01</v>
      </c>
      <c r="BB98" s="223"/>
      <c r="BC98" s="223" t="b">
        <f ca="1">+AND(tip=AZ98,hektari&gt;=BA98,TRUE)</f>
        <v>0</v>
      </c>
      <c r="BD98" s="223">
        <v>200</v>
      </c>
    </row>
    <row r="99" spans="3:56" x14ac:dyDescent="0.2">
      <c r="M99" s="1"/>
      <c r="AB99" s="55">
        <f ca="1">ES14_10+0</f>
        <v>0</v>
      </c>
      <c r="AC99" s="7">
        <v>10</v>
      </c>
      <c r="AD99" s="7">
        <v>500001</v>
      </c>
      <c r="AE99" s="7">
        <v>750000</v>
      </c>
      <c r="AF99" s="7" t="s">
        <v>634</v>
      </c>
      <c r="AG99" s="7" t="b">
        <f t="shared" ca="1" si="10"/>
        <v>0</v>
      </c>
      <c r="AH99" s="56" t="s">
        <v>384</v>
      </c>
      <c r="AI99" s="7">
        <f ca="1">_PN3_841+0</f>
        <v>0</v>
      </c>
      <c r="AJ99" s="7">
        <v>841</v>
      </c>
      <c r="AK99" s="125" t="s">
        <v>615</v>
      </c>
      <c r="AL99" s="125" t="s">
        <v>615</v>
      </c>
      <c r="AM99" s="7" t="s">
        <v>474</v>
      </c>
      <c r="AN99" s="7" t="b">
        <f ca="1">AND(PN2_84=TRUE,_P1&gt;_1T,_P5&gt;_1T)</f>
        <v>0</v>
      </c>
      <c r="AO99" s="47" t="str">
        <f t="shared" si="9"/>
        <v>PN3_841</v>
      </c>
      <c r="AZ99" s="222">
        <v>233</v>
      </c>
      <c r="BA99" s="223">
        <v>0</v>
      </c>
      <c r="BB99" s="223">
        <v>1</v>
      </c>
      <c r="BC99" s="223" t="b">
        <f ca="1">+AND(tip=AZ99,hektari&gt;=BA99,hektari&lt;=BB99,TRUE)</f>
        <v>0</v>
      </c>
      <c r="BD99" s="223">
        <v>60</v>
      </c>
    </row>
    <row r="100" spans="3:56" x14ac:dyDescent="0.2">
      <c r="AB100" s="55">
        <f ca="1">ES14_11+0</f>
        <v>0</v>
      </c>
      <c r="AC100" s="7">
        <v>11</v>
      </c>
      <c r="AD100" s="7">
        <v>750001</v>
      </c>
      <c r="AE100" s="7">
        <v>1000000</v>
      </c>
      <c r="AF100" s="7" t="s">
        <v>635</v>
      </c>
      <c r="AG100" s="7" t="b">
        <f t="shared" ca="1" si="10"/>
        <v>0</v>
      </c>
      <c r="AH100" s="56" t="s">
        <v>385</v>
      </c>
      <c r="AI100" s="7">
        <f ca="1">_PN3_842+0</f>
        <v>0</v>
      </c>
      <c r="AJ100" s="7">
        <v>842</v>
      </c>
      <c r="AK100" s="125" t="s">
        <v>616</v>
      </c>
      <c r="AL100" s="125" t="s">
        <v>616</v>
      </c>
      <c r="AM100" s="7" t="s">
        <v>475</v>
      </c>
      <c r="AN100" s="7" t="b">
        <f ca="1">AND(PN2_84=TRUE,_P3&gt;_1T,_P4&gt;_1T)</f>
        <v>0</v>
      </c>
      <c r="AO100" s="47" t="str">
        <f t="shared" si="9"/>
        <v>PN3_842</v>
      </c>
      <c r="AZ100" s="222">
        <v>233</v>
      </c>
      <c r="BA100" s="223">
        <v>1.01</v>
      </c>
      <c r="BB100" s="223">
        <v>5</v>
      </c>
      <c r="BC100" s="223" t="b">
        <f ca="1">+AND(tip=AZ100,hektari&gt;=BA100,hektari&lt;=BB100,TRUE)</f>
        <v>0</v>
      </c>
      <c r="BD100" s="223">
        <v>80</v>
      </c>
    </row>
    <row r="101" spans="3:56" x14ac:dyDescent="0.2">
      <c r="AB101" s="55">
        <f ca="1">ES14_12+0</f>
        <v>0</v>
      </c>
      <c r="AC101" s="7">
        <v>12</v>
      </c>
      <c r="AD101" s="7">
        <v>1000001</v>
      </c>
      <c r="AE101" s="7">
        <v>1500000</v>
      </c>
      <c r="AF101" s="7" t="s">
        <v>638</v>
      </c>
      <c r="AG101" s="7" t="b">
        <f t="shared" ca="1" si="10"/>
        <v>0</v>
      </c>
      <c r="AH101" s="56" t="s">
        <v>386</v>
      </c>
      <c r="AI101" s="7">
        <f ca="1">_PN3_843+0</f>
        <v>0</v>
      </c>
      <c r="AJ101" s="7">
        <v>843</v>
      </c>
      <c r="AK101" s="125" t="s">
        <v>617</v>
      </c>
      <c r="AL101" s="125" t="s">
        <v>617</v>
      </c>
      <c r="AM101" s="7" t="s">
        <v>476</v>
      </c>
      <c r="AN101" s="7" t="b">
        <f ca="1">AND(PN2_84=TRUE,_3.07&gt;_2T)</f>
        <v>0</v>
      </c>
      <c r="AO101" s="47" t="str">
        <f t="shared" si="9"/>
        <v>PN3_843</v>
      </c>
      <c r="AZ101" s="222">
        <v>233</v>
      </c>
      <c r="BA101" s="223">
        <v>5.01</v>
      </c>
      <c r="BB101" s="223">
        <v>10</v>
      </c>
      <c r="BC101" s="223" t="b">
        <f ca="1">+AND(tip=AZ101,hektari&gt;=BA101,hektari&lt;=BB101,TRUE)</f>
        <v>0</v>
      </c>
      <c r="BD101" s="223">
        <v>100</v>
      </c>
    </row>
    <row r="102" spans="3:56" x14ac:dyDescent="0.2">
      <c r="C102" s="166"/>
      <c r="AB102" s="55">
        <f ca="1">ES14_13+0</f>
        <v>0</v>
      </c>
      <c r="AC102" s="7">
        <v>13</v>
      </c>
      <c r="AD102" s="7">
        <v>1500001</v>
      </c>
      <c r="AE102" s="7">
        <v>3000000</v>
      </c>
      <c r="AF102" s="7" t="s">
        <v>637</v>
      </c>
      <c r="AG102" s="7" t="b">
        <f ca="1">AND(TSO*tx&gt;=AD102,TSO*tx&lt;AE102)</f>
        <v>0</v>
      </c>
      <c r="AH102" s="56" t="s">
        <v>387</v>
      </c>
      <c r="AI102" s="7">
        <f ca="1">_PN3_844+0</f>
        <v>0</v>
      </c>
      <c r="AJ102" s="7">
        <v>844</v>
      </c>
      <c r="AK102" s="125" t="s">
        <v>618</v>
      </c>
      <c r="AL102" s="125" t="s">
        <v>618</v>
      </c>
      <c r="AM102" s="7" t="s">
        <v>477</v>
      </c>
      <c r="AN102" s="7" t="b">
        <f ca="1">AND(PN2_84=TRUE,_PN3_841=FALSE,_PN3_842=FALSE,_PN3_843=FALSE)</f>
        <v>0</v>
      </c>
      <c r="AO102" s="47" t="str">
        <f t="shared" si="9"/>
        <v>PN3_844</v>
      </c>
      <c r="AZ102" s="222">
        <v>233</v>
      </c>
      <c r="BA102" s="223">
        <v>10.01</v>
      </c>
      <c r="BB102" s="223">
        <v>50</v>
      </c>
      <c r="BC102" s="223" t="b">
        <f ca="1">+AND(tip=AZ102,hektari&gt;=BA102,hektari&lt;=BB102,TRUE)</f>
        <v>0</v>
      </c>
      <c r="BD102" s="223">
        <v>170</v>
      </c>
    </row>
    <row r="103" spans="3:56" ht="13.5" thickBot="1" x14ac:dyDescent="0.25">
      <c r="AB103" s="57">
        <f ca="1">ES14_14+0</f>
        <v>0</v>
      </c>
      <c r="AC103" s="58">
        <v>14</v>
      </c>
      <c r="AD103" s="58">
        <v>3000001</v>
      </c>
      <c r="AE103" s="58"/>
      <c r="AF103" s="58" t="s">
        <v>636</v>
      </c>
      <c r="AG103" s="58" t="b">
        <f ca="1">AND(TSO*tx&gt;=AD103)</f>
        <v>0</v>
      </c>
      <c r="AH103" s="59" t="s">
        <v>388</v>
      </c>
      <c r="AI103" s="50">
        <f ca="1">PN3_900+0</f>
        <v>1</v>
      </c>
      <c r="AJ103" s="50">
        <v>900</v>
      </c>
      <c r="AK103" s="50" t="s">
        <v>619</v>
      </c>
      <c r="AL103" s="50" t="s">
        <v>619</v>
      </c>
      <c r="AM103" s="50" t="s">
        <v>495</v>
      </c>
      <c r="AN103" s="50" t="b">
        <f ca="1">PN2_90</f>
        <v>1</v>
      </c>
      <c r="AO103" s="51" t="str">
        <f t="shared" si="9"/>
        <v>PN3_900</v>
      </c>
      <c r="AZ103" s="222">
        <v>233</v>
      </c>
      <c r="BA103" s="223">
        <v>50.01</v>
      </c>
      <c r="BB103" s="223"/>
      <c r="BC103" s="223" t="b">
        <f ca="1">+AND(tip=AZ103,hektari&gt;=BA103,TRUE)</f>
        <v>0</v>
      </c>
      <c r="BD103" s="223">
        <v>200</v>
      </c>
    </row>
    <row r="104" spans="3:56" ht="14.25" thickTop="1" thickBot="1" x14ac:dyDescent="0.25">
      <c r="AZ104" s="222">
        <v>232</v>
      </c>
      <c r="BA104" s="223">
        <v>0</v>
      </c>
      <c r="BB104" s="223">
        <v>2</v>
      </c>
      <c r="BC104" s="223" t="b">
        <f ca="1">+AND(tip=AZ104,hektari&gt;=BA104,hektari&lt;=BB104,TRUE)</f>
        <v>0</v>
      </c>
      <c r="BD104" s="223">
        <v>70</v>
      </c>
    </row>
    <row r="105" spans="3:56" ht="13.5" thickTop="1" x14ac:dyDescent="0.2">
      <c r="AB105" s="60"/>
      <c r="AC105" s="61"/>
      <c r="AD105" s="61"/>
      <c r="AE105" s="61"/>
      <c r="AF105" s="61"/>
      <c r="AG105" s="62" t="e">
        <f ca="1">VLOOKUP(1,ES_9,2,FALSE)</f>
        <v>#N/A</v>
      </c>
      <c r="AH105" s="63"/>
      <c r="AZ105" s="222">
        <v>232</v>
      </c>
      <c r="BA105" s="223">
        <v>2.0099999999999998</v>
      </c>
      <c r="BB105" s="223">
        <v>5</v>
      </c>
      <c r="BC105" s="223" t="b">
        <f ca="1">+AND(tip=AZ105,hektari&gt;=BA105,hektari&lt;=BB105,TRUE)</f>
        <v>0</v>
      </c>
      <c r="BD105" s="223">
        <v>95</v>
      </c>
    </row>
    <row r="106" spans="3:56" x14ac:dyDescent="0.2">
      <c r="AB106" s="64"/>
      <c r="AC106" s="7"/>
      <c r="AD106" s="7"/>
      <c r="AE106" s="7"/>
      <c r="AF106" s="7"/>
      <c r="AG106" s="7"/>
      <c r="AH106" s="65"/>
      <c r="AZ106" s="222">
        <v>232</v>
      </c>
      <c r="BA106" s="223">
        <v>5.01</v>
      </c>
      <c r="BB106" s="223">
        <v>20</v>
      </c>
      <c r="BC106" s="223" t="b">
        <f ca="1">+AND(tip=AZ106,hektari&gt;=BA106,hektari&lt;=BB106,TRUE)</f>
        <v>0</v>
      </c>
      <c r="BD106" s="223">
        <v>110</v>
      </c>
    </row>
    <row r="107" spans="3:56" x14ac:dyDescent="0.2">
      <c r="AB107" s="64">
        <f ca="1">ES9_1+0</f>
        <v>0</v>
      </c>
      <c r="AC107" s="7">
        <v>1</v>
      </c>
      <c r="AD107" s="7">
        <v>2000</v>
      </c>
      <c r="AE107" s="7">
        <v>8000</v>
      </c>
      <c r="AF107" s="7"/>
      <c r="AG107" s="7" t="b">
        <f ca="1">AND(TSO*tx&gt;=AD107,TSO*tx&lt;AE107)</f>
        <v>0</v>
      </c>
      <c r="AH107" s="65" t="s">
        <v>389</v>
      </c>
      <c r="AZ107" s="222">
        <v>232</v>
      </c>
      <c r="BA107" s="223">
        <v>20.010000000000002</v>
      </c>
      <c r="BB107" s="223"/>
      <c r="BC107" s="223" t="b">
        <f ca="1">+AND(tip=AZ107,hektari&gt;=BA107,TRUE)</f>
        <v>0</v>
      </c>
      <c r="BD107" s="223">
        <v>170</v>
      </c>
    </row>
    <row r="108" spans="3:56" x14ac:dyDescent="0.2">
      <c r="AB108" s="64">
        <f ca="1">ES9_2+0</f>
        <v>0</v>
      </c>
      <c r="AC108" s="7">
        <v>2</v>
      </c>
      <c r="AD108" s="7">
        <v>8000</v>
      </c>
      <c r="AE108" s="7">
        <v>15000</v>
      </c>
      <c r="AF108" s="7"/>
      <c r="AG108" s="7" t="b">
        <f t="shared" ref="AG108:AG114" ca="1" si="11">AND(TSO*tx&gt;=AD108,TSO*tx&lt;AE108)</f>
        <v>0</v>
      </c>
      <c r="AH108" s="65" t="s">
        <v>390</v>
      </c>
      <c r="AZ108" s="222">
        <v>351</v>
      </c>
      <c r="BA108" s="223">
        <v>0</v>
      </c>
      <c r="BB108" s="223">
        <v>10</v>
      </c>
      <c r="BC108" s="223" t="b">
        <f ca="1">+AND(tip=AZ108,hektari&gt;=BA108,hektari&lt;=BB108,TRUE)</f>
        <v>0</v>
      </c>
      <c r="BD108" s="223">
        <v>70</v>
      </c>
    </row>
    <row r="109" spans="3:56" x14ac:dyDescent="0.2">
      <c r="AB109" s="64">
        <f ca="1">ES9_3+0</f>
        <v>0</v>
      </c>
      <c r="AC109" s="7">
        <v>3</v>
      </c>
      <c r="AD109" s="7">
        <v>15000</v>
      </c>
      <c r="AE109" s="7">
        <v>25000</v>
      </c>
      <c r="AF109" s="7"/>
      <c r="AG109" s="7" t="b">
        <f t="shared" ca="1" si="11"/>
        <v>0</v>
      </c>
      <c r="AH109" s="65" t="s">
        <v>391</v>
      </c>
      <c r="AZ109" s="222">
        <v>351</v>
      </c>
      <c r="BA109" s="223">
        <v>10.01</v>
      </c>
      <c r="BB109" s="223">
        <v>50</v>
      </c>
      <c r="BC109" s="223" t="b">
        <f ca="1">+AND(tip=AZ109,hektari&gt;=BA109,hektari&lt;=BB109,TRUE)</f>
        <v>0</v>
      </c>
      <c r="BD109" s="223">
        <v>95</v>
      </c>
    </row>
    <row r="110" spans="3:56" x14ac:dyDescent="0.2">
      <c r="AB110" s="64">
        <f ca="1">ES9_4+0</f>
        <v>0</v>
      </c>
      <c r="AC110" s="7">
        <v>4</v>
      </c>
      <c r="AD110" s="7">
        <v>25000</v>
      </c>
      <c r="AE110" s="7">
        <v>50000</v>
      </c>
      <c r="AF110" s="7"/>
      <c r="AG110" s="7" t="b">
        <f t="shared" ca="1" si="11"/>
        <v>0</v>
      </c>
      <c r="AH110" s="65" t="s">
        <v>392</v>
      </c>
      <c r="AZ110" s="222">
        <v>351</v>
      </c>
      <c r="BA110" s="223">
        <v>50.01</v>
      </c>
      <c r="BB110" s="223">
        <v>100</v>
      </c>
      <c r="BC110" s="223" t="b">
        <f ca="1">+AND(tip=AZ110,hektari&gt;=BA110,hektari&lt;=BB110,TRUE)</f>
        <v>0</v>
      </c>
      <c r="BD110" s="223">
        <v>120</v>
      </c>
    </row>
    <row r="111" spans="3:56" x14ac:dyDescent="0.2">
      <c r="AB111" s="64">
        <f ca="1">ES9_5+0</f>
        <v>0</v>
      </c>
      <c r="AC111" s="7">
        <v>5</v>
      </c>
      <c r="AD111" s="7">
        <v>50000</v>
      </c>
      <c r="AE111" s="7">
        <v>100000</v>
      </c>
      <c r="AF111" s="7"/>
      <c r="AG111" s="7" t="b">
        <f t="shared" ca="1" si="11"/>
        <v>0</v>
      </c>
      <c r="AH111" s="65" t="s">
        <v>393</v>
      </c>
      <c r="AZ111" s="222">
        <v>351</v>
      </c>
      <c r="BA111" s="223">
        <v>100.01</v>
      </c>
      <c r="BB111" s="223">
        <v>150</v>
      </c>
      <c r="BC111" s="223" t="b">
        <f ca="1">+AND(tip=AZ111,hektari&gt;=BA111,hektari&lt;=BB111,TRUE)</f>
        <v>0</v>
      </c>
      <c r="BD111" s="223">
        <v>180</v>
      </c>
    </row>
    <row r="112" spans="3:56" x14ac:dyDescent="0.2">
      <c r="AB112" s="64">
        <f ca="1">ES9_6+0</f>
        <v>0</v>
      </c>
      <c r="AC112" s="7">
        <v>6</v>
      </c>
      <c r="AD112" s="7">
        <v>100000</v>
      </c>
      <c r="AE112" s="7">
        <v>250000</v>
      </c>
      <c r="AF112" s="7"/>
      <c r="AG112" s="7" t="b">
        <f t="shared" ca="1" si="11"/>
        <v>0</v>
      </c>
      <c r="AH112" s="65" t="s">
        <v>394</v>
      </c>
      <c r="AZ112" s="222">
        <v>351</v>
      </c>
      <c r="BA112" s="223">
        <v>150.01</v>
      </c>
      <c r="BB112" s="223"/>
      <c r="BC112" s="223" t="b">
        <f ca="1">+AND(tip=AZ112,hektari&gt;=BA112,TRUE)</f>
        <v>0</v>
      </c>
      <c r="BD112" s="223">
        <v>220</v>
      </c>
    </row>
    <row r="113" spans="28:56" x14ac:dyDescent="0.2">
      <c r="AB113" s="64">
        <f ca="1">ES9_7+0</f>
        <v>0</v>
      </c>
      <c r="AC113" s="7">
        <v>7</v>
      </c>
      <c r="AD113" s="7">
        <v>250000</v>
      </c>
      <c r="AE113" s="7">
        <v>500000</v>
      </c>
      <c r="AF113" s="7"/>
      <c r="AG113" s="7" t="b">
        <f t="shared" ca="1" si="11"/>
        <v>0</v>
      </c>
      <c r="AH113" s="65" t="s">
        <v>395</v>
      </c>
      <c r="AZ113" s="222">
        <v>352</v>
      </c>
      <c r="BA113" s="223">
        <v>0</v>
      </c>
      <c r="BB113" s="223">
        <v>10</v>
      </c>
      <c r="BC113" s="223" t="b">
        <f ca="1">+AND(tip=AZ113,hektari&gt;=BA113,hektari&lt;=BB113,TRUE)</f>
        <v>0</v>
      </c>
      <c r="BD113" s="223">
        <v>70</v>
      </c>
    </row>
    <row r="114" spans="28:56" x14ac:dyDescent="0.2">
      <c r="AB114" s="64">
        <f ca="1">ES9_8+0</f>
        <v>0</v>
      </c>
      <c r="AC114" s="7">
        <v>8</v>
      </c>
      <c r="AD114" s="7">
        <v>500000</v>
      </c>
      <c r="AE114" s="7">
        <v>1000000</v>
      </c>
      <c r="AF114" s="7"/>
      <c r="AG114" s="7" t="b">
        <f t="shared" ca="1" si="11"/>
        <v>0</v>
      </c>
      <c r="AH114" s="65" t="s">
        <v>396</v>
      </c>
      <c r="AZ114" s="222">
        <v>352</v>
      </c>
      <c r="BA114" s="223">
        <v>10.01</v>
      </c>
      <c r="BB114" s="223">
        <v>50</v>
      </c>
      <c r="BC114" s="223" t="b">
        <f ca="1">+AND(tip=AZ114,hektari&gt;=BA114,hektari&lt;=BB114,TRUE)</f>
        <v>0</v>
      </c>
      <c r="BD114" s="223">
        <v>95</v>
      </c>
    </row>
    <row r="115" spans="28:56" ht="13.5" thickBot="1" x14ac:dyDescent="0.25">
      <c r="AB115" s="66">
        <f ca="1">ES9_9+0</f>
        <v>0</v>
      </c>
      <c r="AC115" s="67">
        <v>9</v>
      </c>
      <c r="AD115" s="67">
        <v>1000000</v>
      </c>
      <c r="AE115" s="67"/>
      <c r="AF115" s="67"/>
      <c r="AG115" s="67" t="b">
        <f ca="1">AND(TSO*tx&gt;=AD115)</f>
        <v>0</v>
      </c>
      <c r="AH115" s="68" t="s">
        <v>397</v>
      </c>
      <c r="AZ115" s="222">
        <v>352</v>
      </c>
      <c r="BA115" s="223">
        <v>50.01</v>
      </c>
      <c r="BB115" s="223">
        <v>100</v>
      </c>
      <c r="BC115" s="223" t="b">
        <f ca="1">+AND(tip=AZ115,hektari&gt;=BA115,hektari&lt;=BB115,TRUE)</f>
        <v>0</v>
      </c>
      <c r="BD115" s="223">
        <v>120</v>
      </c>
    </row>
    <row r="116" spans="28:56" ht="14.25" thickTop="1" thickBot="1" x14ac:dyDescent="0.25">
      <c r="AZ116" s="222">
        <v>352</v>
      </c>
      <c r="BA116" s="223">
        <v>100.01</v>
      </c>
      <c r="BB116" s="223">
        <v>150</v>
      </c>
      <c r="BC116" s="223" t="b">
        <f ca="1">+AND(tip=AZ116,hektari&gt;=BA116,hektari&lt;=BB116,TRUE)</f>
        <v>0</v>
      </c>
      <c r="BD116" s="223">
        <v>180</v>
      </c>
    </row>
    <row r="117" spans="28:56" ht="13.5" thickTop="1" x14ac:dyDescent="0.2">
      <c r="AB117" s="69"/>
      <c r="AC117" s="70"/>
      <c r="AD117" s="70"/>
      <c r="AE117" s="70"/>
      <c r="AF117" s="70"/>
      <c r="AG117" s="71" t="e">
        <f ca="1">VLOOKUP(1,ES_6,2,FALSE)</f>
        <v>#N/A</v>
      </c>
      <c r="AH117" s="72"/>
      <c r="AZ117" s="222">
        <v>352</v>
      </c>
      <c r="BA117" s="223">
        <v>150.01</v>
      </c>
      <c r="BB117" s="223"/>
      <c r="BC117" s="223" t="b">
        <f ca="1">+AND(tip=AZ117,hektari&gt;=BA117,TRUE)</f>
        <v>0</v>
      </c>
      <c r="BD117" s="223">
        <v>220</v>
      </c>
    </row>
    <row r="118" spans="28:56" x14ac:dyDescent="0.2">
      <c r="AB118" s="73"/>
      <c r="AC118" s="7"/>
      <c r="AD118" s="7"/>
      <c r="AE118" s="7"/>
      <c r="AF118" s="7"/>
      <c r="AG118" s="7"/>
      <c r="AH118" s="74"/>
      <c r="AZ118" s="222">
        <v>353</v>
      </c>
      <c r="BA118" s="223">
        <v>0</v>
      </c>
      <c r="BB118" s="223">
        <v>10</v>
      </c>
      <c r="BC118" s="223" t="b">
        <f ca="1">+AND(tip=AZ118,hektari&gt;=BA118,hektari&lt;=BB118,TRUE)</f>
        <v>0</v>
      </c>
      <c r="BD118" s="223">
        <v>70</v>
      </c>
    </row>
    <row r="119" spans="28:56" x14ac:dyDescent="0.2">
      <c r="AB119" s="73">
        <f ca="1">ES6_1+0</f>
        <v>0</v>
      </c>
      <c r="AC119" s="7">
        <v>1</v>
      </c>
      <c r="AD119" s="7">
        <v>2000</v>
      </c>
      <c r="AE119" s="7">
        <v>8000</v>
      </c>
      <c r="AF119" s="7"/>
      <c r="AG119" s="7" t="b">
        <f ca="1">AND(TSO*tx&gt;=AD119,TSO*tx&lt;AE119)</f>
        <v>0</v>
      </c>
      <c r="AH119" s="74" t="s">
        <v>398</v>
      </c>
      <c r="AZ119" s="222">
        <v>353</v>
      </c>
      <c r="BA119" s="223">
        <v>10.01</v>
      </c>
      <c r="BB119" s="223">
        <v>50</v>
      </c>
      <c r="BC119" s="223" t="b">
        <f ca="1">+AND(tip=AZ119,hektari&gt;=BA119,hektari&lt;=BB119,TRUE)</f>
        <v>0</v>
      </c>
      <c r="BD119" s="223">
        <v>95</v>
      </c>
    </row>
    <row r="120" spans="28:56" x14ac:dyDescent="0.2">
      <c r="AB120" s="73">
        <f ca="1">ES6_2+0</f>
        <v>0</v>
      </c>
      <c r="AC120" s="7">
        <v>2</v>
      </c>
      <c r="AD120" s="7">
        <v>8000</v>
      </c>
      <c r="AE120" s="7">
        <v>25000</v>
      </c>
      <c r="AF120" s="7"/>
      <c r="AG120" s="7" t="b">
        <f ca="1">AND(TSO*tx&gt;=AD120,TSO*tx&lt;AE120)</f>
        <v>0</v>
      </c>
      <c r="AH120" s="74" t="s">
        <v>399</v>
      </c>
      <c r="AZ120" s="222">
        <v>353</v>
      </c>
      <c r="BA120" s="223">
        <v>50.01</v>
      </c>
      <c r="BB120" s="223">
        <v>100</v>
      </c>
      <c r="BC120" s="223" t="b">
        <f ca="1">+AND(tip=AZ120,hektari&gt;=BA120,hektari&lt;=BB120,TRUE)</f>
        <v>0</v>
      </c>
      <c r="BD120" s="223">
        <v>120</v>
      </c>
    </row>
    <row r="121" spans="28:56" x14ac:dyDescent="0.2">
      <c r="AB121" s="73">
        <f ca="1">ES6_3+0</f>
        <v>0</v>
      </c>
      <c r="AC121" s="7">
        <v>3</v>
      </c>
      <c r="AD121" s="7">
        <v>25000</v>
      </c>
      <c r="AE121" s="7">
        <v>50000</v>
      </c>
      <c r="AF121" s="7"/>
      <c r="AG121" s="7" t="b">
        <f ca="1">AND(TSO*tx&gt;=AD121,TSO*tx&lt;AE121)</f>
        <v>0</v>
      </c>
      <c r="AH121" s="74" t="s">
        <v>400</v>
      </c>
      <c r="AZ121" s="222">
        <v>353</v>
      </c>
      <c r="BA121" s="223">
        <v>100.01</v>
      </c>
      <c r="BB121" s="223">
        <v>150</v>
      </c>
      <c r="BC121" s="223" t="b">
        <f ca="1">+AND(tip=AZ121,hektari&gt;=BA121,hektari&lt;=BB121,TRUE)</f>
        <v>0</v>
      </c>
      <c r="BD121" s="223">
        <v>180</v>
      </c>
    </row>
    <row r="122" spans="28:56" x14ac:dyDescent="0.2">
      <c r="AB122" s="73">
        <f ca="1">ES6_4+0</f>
        <v>0</v>
      </c>
      <c r="AC122" s="7">
        <v>4</v>
      </c>
      <c r="AD122" s="7">
        <v>50000</v>
      </c>
      <c r="AE122" s="7">
        <v>100000</v>
      </c>
      <c r="AF122" s="7"/>
      <c r="AG122" s="7" t="b">
        <f ca="1">AND(TSO*tx&gt;=AD122,TSO*tx&lt;AE122)</f>
        <v>0</v>
      </c>
      <c r="AH122" s="74" t="s">
        <v>401</v>
      </c>
      <c r="AZ122" s="222">
        <v>353</v>
      </c>
      <c r="BA122" s="223">
        <v>150.01</v>
      </c>
      <c r="BB122" s="223"/>
      <c r="BC122" s="223" t="b">
        <f ca="1">+AND(tip=AZ122,hektari&gt;=BA122,TRUE)</f>
        <v>0</v>
      </c>
      <c r="BD122" s="223">
        <v>220</v>
      </c>
    </row>
    <row r="123" spans="28:56" x14ac:dyDescent="0.2">
      <c r="AB123" s="73">
        <f ca="1">ES6_5+0</f>
        <v>0</v>
      </c>
      <c r="AC123" s="7">
        <v>5</v>
      </c>
      <c r="AD123" s="7">
        <v>100000</v>
      </c>
      <c r="AE123" s="7">
        <v>500000</v>
      </c>
      <c r="AF123" s="7"/>
      <c r="AG123" s="7" t="b">
        <f ca="1">AND(TSO*tx&gt;=AD123,TSO*tx&lt;AE123)</f>
        <v>0</v>
      </c>
      <c r="AH123" s="74" t="s">
        <v>402</v>
      </c>
      <c r="AZ123" s="222">
        <v>354</v>
      </c>
      <c r="BA123" s="223">
        <v>0</v>
      </c>
      <c r="BB123" s="223">
        <v>10</v>
      </c>
      <c r="BC123" s="223" t="b">
        <f ca="1">+AND(tip=AZ123,hektari&gt;=BA123,hektari&lt;=BB123,TRUE)</f>
        <v>0</v>
      </c>
      <c r="BD123" s="223">
        <v>70</v>
      </c>
    </row>
    <row r="124" spans="28:56" ht="13.5" thickBot="1" x14ac:dyDescent="0.25">
      <c r="AB124" s="75">
        <f ca="1">ES6_6+0</f>
        <v>0</v>
      </c>
      <c r="AC124" s="76">
        <v>6</v>
      </c>
      <c r="AD124" s="76">
        <v>500000</v>
      </c>
      <c r="AE124" s="76"/>
      <c r="AF124" s="76"/>
      <c r="AG124" s="76" t="b">
        <f ca="1">AND(TSO*tx&gt;=AD124)</f>
        <v>0</v>
      </c>
      <c r="AH124" s="77" t="s">
        <v>403</v>
      </c>
      <c r="AZ124" s="222">
        <v>354</v>
      </c>
      <c r="BA124" s="223">
        <v>10.01</v>
      </c>
      <c r="BB124" s="223">
        <v>50</v>
      </c>
      <c r="BC124" s="223" t="b">
        <f ca="1">+AND(tip=AZ124,hektari&gt;=BA124,hektari&lt;=BB124,TRUE)</f>
        <v>0</v>
      </c>
      <c r="BD124" s="223">
        <v>95</v>
      </c>
    </row>
    <row r="125" spans="28:56" ht="13.5" thickTop="1" x14ac:dyDescent="0.2">
      <c r="AZ125" s="222">
        <v>354</v>
      </c>
      <c r="BA125" s="223">
        <v>50.01</v>
      </c>
      <c r="BB125" s="223">
        <v>100</v>
      </c>
      <c r="BC125" s="223" t="b">
        <f ca="1">+AND(tip=AZ125,hektari&gt;=BA125,hektari&lt;=BB125,TRUE)</f>
        <v>0</v>
      </c>
      <c r="BD125" s="223">
        <v>120</v>
      </c>
    </row>
    <row r="126" spans="28:56" x14ac:dyDescent="0.2">
      <c r="AZ126" s="222">
        <v>354</v>
      </c>
      <c r="BA126" s="223">
        <v>100.01</v>
      </c>
      <c r="BB126" s="223">
        <v>150</v>
      </c>
      <c r="BC126" s="223" t="b">
        <f ca="1">+AND(tip=AZ126,hektari&gt;=BA126,hektari&lt;=BB126,TRUE)</f>
        <v>0</v>
      </c>
      <c r="BD126" s="223">
        <v>180</v>
      </c>
    </row>
    <row r="127" spans="28:56" x14ac:dyDescent="0.2">
      <c r="AB127" s="25" t="s">
        <v>494</v>
      </c>
      <c r="AZ127" s="222">
        <v>354</v>
      </c>
      <c r="BA127" s="223">
        <v>150.01</v>
      </c>
      <c r="BB127" s="223"/>
      <c r="BC127" s="223" t="b">
        <f ca="1">+AND(tip=AZ127,hektari&gt;=BA127,TRUE)</f>
        <v>0</v>
      </c>
      <c r="BD127" s="223">
        <v>220</v>
      </c>
    </row>
    <row r="128" spans="28:56" ht="13.5" thickBot="1" x14ac:dyDescent="0.25">
      <c r="AZ128" s="222">
        <v>361</v>
      </c>
      <c r="BA128" s="223">
        <v>0</v>
      </c>
      <c r="BB128" s="223">
        <v>10</v>
      </c>
      <c r="BC128" s="223" t="b">
        <f ca="1">+AND(tip=AZ128,hektari&gt;=BA128,hektari&lt;=BB128,TRUE)</f>
        <v>0</v>
      </c>
      <c r="BD128" s="223">
        <v>70</v>
      </c>
    </row>
    <row r="129" spans="1:56" ht="13.5" thickTop="1" x14ac:dyDescent="0.2">
      <c r="AB129" s="69"/>
      <c r="AC129" s="70"/>
      <c r="AD129" s="70"/>
      <c r="AE129" s="70"/>
      <c r="AF129" s="70"/>
      <c r="AG129" s="93" t="e">
        <f ca="1">VLOOKUP(1,ES_5,2,FALSE)</f>
        <v>#N/A</v>
      </c>
      <c r="AH129" s="72"/>
      <c r="AZ129" s="222">
        <v>361</v>
      </c>
      <c r="BA129" s="223">
        <v>10.01</v>
      </c>
      <c r="BB129" s="223">
        <v>50</v>
      </c>
      <c r="BC129" s="223" t="b">
        <f ca="1">+AND(tip=AZ129,hektari&gt;=BA129,hektari&lt;=BB129,TRUE)</f>
        <v>0</v>
      </c>
      <c r="BD129" s="223">
        <v>95</v>
      </c>
    </row>
    <row r="130" spans="1:56" x14ac:dyDescent="0.2">
      <c r="AB130" s="73"/>
      <c r="AC130" s="7"/>
      <c r="AD130" s="7"/>
      <c r="AE130" s="7"/>
      <c r="AF130" s="7"/>
      <c r="AG130" s="7"/>
      <c r="AH130" s="74"/>
      <c r="AZ130" s="222">
        <v>361</v>
      </c>
      <c r="BA130" s="223">
        <v>50.01</v>
      </c>
      <c r="BB130" s="223">
        <v>100</v>
      </c>
      <c r="BC130" s="223" t="b">
        <f ca="1">+AND(tip=AZ130,hektari&gt;=BA130,hektari&lt;=BB130,TRUE)</f>
        <v>0</v>
      </c>
      <c r="BD130" s="223">
        <v>120</v>
      </c>
    </row>
    <row r="131" spans="1:56" x14ac:dyDescent="0.2">
      <c r="AB131" s="90">
        <f ca="1">_ES5_1+0</f>
        <v>0</v>
      </c>
      <c r="AC131" s="91">
        <v>1</v>
      </c>
      <c r="AD131" s="91">
        <v>4000</v>
      </c>
      <c r="AE131" s="91">
        <v>8000</v>
      </c>
      <c r="AF131" s="91"/>
      <c r="AG131" s="91" t="b">
        <f ca="1">AND(TSO*tx&gt;=AD131,TSO*tx&lt;AE131)</f>
        <v>0</v>
      </c>
      <c r="AH131" s="92" t="s">
        <v>489</v>
      </c>
      <c r="AZ131" s="222">
        <v>361</v>
      </c>
      <c r="BA131" s="223">
        <v>100.01</v>
      </c>
      <c r="BB131" s="223">
        <v>150</v>
      </c>
      <c r="BC131" s="223" t="b">
        <f ca="1">+AND(tip=AZ131,hektari&gt;=BA131,hektari&lt;=BB131,TRUE)</f>
        <v>0</v>
      </c>
      <c r="BD131" s="223">
        <v>180</v>
      </c>
    </row>
    <row r="132" spans="1:56" x14ac:dyDescent="0.2">
      <c r="AB132" s="90">
        <f ca="1">_ES5_2+0</f>
        <v>0</v>
      </c>
      <c r="AC132" s="91">
        <v>2</v>
      </c>
      <c r="AD132" s="91">
        <v>8000</v>
      </c>
      <c r="AE132" s="91">
        <v>25000</v>
      </c>
      <c r="AF132" s="91"/>
      <c r="AG132" s="91" t="b">
        <f ca="1">AND(TSO*tx&gt;=AD132,TSO*tx&lt;AE132)</f>
        <v>0</v>
      </c>
      <c r="AH132" s="92" t="s">
        <v>490</v>
      </c>
      <c r="AZ132" s="222">
        <v>361</v>
      </c>
      <c r="BA132" s="223">
        <v>150.01</v>
      </c>
      <c r="BB132" s="223"/>
      <c r="BC132" s="223" t="b">
        <f ca="1">+AND(tip=AZ132,hektari&gt;=BA132,TRUE)</f>
        <v>0</v>
      </c>
      <c r="BD132" s="223">
        <v>220</v>
      </c>
    </row>
    <row r="133" spans="1:56" x14ac:dyDescent="0.2">
      <c r="AB133" s="90">
        <f ca="1">_ES5_3+0</f>
        <v>0</v>
      </c>
      <c r="AC133" s="91">
        <v>3</v>
      </c>
      <c r="AD133" s="91">
        <v>25000</v>
      </c>
      <c r="AE133" s="91">
        <v>100000</v>
      </c>
      <c r="AF133" s="91"/>
      <c r="AG133" s="91" t="b">
        <f ca="1">AND(TSO*tx&gt;=AD133,TSO*tx&lt;AE133)</f>
        <v>0</v>
      </c>
      <c r="AH133" s="92" t="s">
        <v>491</v>
      </c>
      <c r="AZ133" s="222">
        <v>362</v>
      </c>
      <c r="BA133" s="223">
        <v>0</v>
      </c>
      <c r="BB133" s="223">
        <v>10</v>
      </c>
      <c r="BC133" s="223" t="b">
        <f ca="1">+AND(tip=AZ133,hektari&gt;=BA133,hektari&lt;=BB133,TRUE)</f>
        <v>0</v>
      </c>
      <c r="BD133" s="223">
        <v>70</v>
      </c>
    </row>
    <row r="134" spans="1:56" x14ac:dyDescent="0.2">
      <c r="AB134" s="90">
        <f ca="1">_ES5_4+0</f>
        <v>0</v>
      </c>
      <c r="AC134" s="91">
        <v>4</v>
      </c>
      <c r="AD134" s="91">
        <v>100000</v>
      </c>
      <c r="AE134" s="91">
        <v>500000</v>
      </c>
      <c r="AF134" s="91"/>
      <c r="AG134" s="91" t="b">
        <f ca="1">AND(TSO*tx&gt;=AD134,TSO*tx&lt;AE134)</f>
        <v>0</v>
      </c>
      <c r="AH134" s="92" t="s">
        <v>492</v>
      </c>
      <c r="AZ134" s="222">
        <v>362</v>
      </c>
      <c r="BA134" s="223">
        <v>10.01</v>
      </c>
      <c r="BB134" s="223">
        <v>50</v>
      </c>
      <c r="BC134" s="223" t="b">
        <f ca="1">+AND(tip=AZ134,hektari&gt;=BA134,hektari&lt;=BB134,TRUE)</f>
        <v>0</v>
      </c>
      <c r="BD134" s="223">
        <v>95</v>
      </c>
    </row>
    <row r="135" spans="1:56" x14ac:dyDescent="0.2">
      <c r="AB135" s="90">
        <f ca="1">_ES5_5+0</f>
        <v>0</v>
      </c>
      <c r="AC135" s="91">
        <v>5</v>
      </c>
      <c r="AD135" s="91">
        <v>500000</v>
      </c>
      <c r="AE135" s="91"/>
      <c r="AF135" s="91"/>
      <c r="AG135" s="91" t="b">
        <f ca="1">TSO*tx&gt;=AD135</f>
        <v>0</v>
      </c>
      <c r="AH135" s="92" t="s">
        <v>493</v>
      </c>
      <c r="AZ135" s="222">
        <v>362</v>
      </c>
      <c r="BA135" s="223">
        <v>50.01</v>
      </c>
      <c r="BB135" s="223">
        <v>100</v>
      </c>
      <c r="BC135" s="223" t="b">
        <f ca="1">+AND(tip=AZ135,hektari&gt;=BA135,hektari&lt;=BB135,TRUE)</f>
        <v>0</v>
      </c>
      <c r="BD135" s="223">
        <v>120</v>
      </c>
    </row>
    <row r="136" spans="1:56" ht="13.5" thickBot="1" x14ac:dyDescent="0.25">
      <c r="AB136" s="75"/>
      <c r="AC136" s="76"/>
      <c r="AD136" s="76"/>
      <c r="AE136" s="76"/>
      <c r="AF136" s="76"/>
      <c r="AG136" s="76"/>
      <c r="AH136" s="77"/>
      <c r="AZ136" s="222">
        <v>362</v>
      </c>
      <c r="BA136" s="223">
        <v>100.01</v>
      </c>
      <c r="BB136" s="223">
        <v>150</v>
      </c>
      <c r="BC136" s="223" t="b">
        <f ca="1">+AND(tip=AZ136,hektari&gt;=BA136,hektari&lt;=BB136,TRUE)</f>
        <v>0</v>
      </c>
      <c r="BD136" s="223">
        <v>180</v>
      </c>
    </row>
    <row r="137" spans="1:56" ht="13.5" thickTop="1" x14ac:dyDescent="0.2">
      <c r="AZ137" s="222">
        <v>362</v>
      </c>
      <c r="BA137" s="223">
        <v>150.01</v>
      </c>
      <c r="BB137" s="223"/>
      <c r="BC137" s="223" t="b">
        <f ca="1">+AND(tip=AZ137,hektari&gt;=BA137,TRUE)</f>
        <v>0</v>
      </c>
      <c r="BD137" s="223">
        <v>220</v>
      </c>
    </row>
    <row r="138" spans="1:56" x14ac:dyDescent="0.2"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292"/>
      <c r="M138" s="7"/>
      <c r="N138" s="7"/>
      <c r="O138" s="7"/>
      <c r="P138" s="7"/>
      <c r="Q138" s="7"/>
      <c r="R138" s="7"/>
      <c r="S138" s="7"/>
      <c r="T138" s="7"/>
      <c r="AZ138" s="222">
        <v>363</v>
      </c>
      <c r="BA138" s="223">
        <v>0</v>
      </c>
      <c r="BB138" s="223">
        <v>10</v>
      </c>
      <c r="BC138" s="223" t="b">
        <f ca="1">+AND(tip=AZ138,hektari&gt;=BA138,hektari&lt;=BB138,TRUE)</f>
        <v>0</v>
      </c>
      <c r="BD138" s="223">
        <v>70</v>
      </c>
    </row>
    <row r="139" spans="1:56" x14ac:dyDescent="0.2"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292"/>
      <c r="M139" s="7"/>
      <c r="N139" s="7"/>
      <c r="O139" s="7"/>
      <c r="P139" s="7"/>
      <c r="Q139" s="7"/>
      <c r="R139" s="7"/>
      <c r="S139" s="7"/>
      <c r="T139" s="7"/>
      <c r="AZ139" s="222">
        <v>363</v>
      </c>
      <c r="BA139" s="223">
        <v>10.01</v>
      </c>
      <c r="BB139" s="223">
        <v>50</v>
      </c>
      <c r="BC139" s="223" t="b">
        <f ca="1">+AND(tip=AZ139,hektari&gt;=BA139,hektari&lt;=BB139,TRUE)</f>
        <v>0</v>
      </c>
      <c r="BD139" s="223">
        <v>95</v>
      </c>
    </row>
    <row r="140" spans="1:56" x14ac:dyDescent="0.2">
      <c r="A140" s="118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292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Z140" s="222">
        <v>363</v>
      </c>
      <c r="BA140" s="223">
        <v>50.01</v>
      </c>
      <c r="BB140" s="223">
        <v>100</v>
      </c>
      <c r="BC140" s="223" t="b">
        <f ca="1">+AND(tip=AZ140,hektari&gt;=BA140,hektari&lt;=BB140,TRUE)</f>
        <v>0</v>
      </c>
      <c r="BD140" s="223">
        <v>120</v>
      </c>
    </row>
    <row r="141" spans="1:56" x14ac:dyDescent="0.2">
      <c r="A141" s="118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292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Z141" s="222">
        <v>363</v>
      </c>
      <c r="BA141" s="223">
        <v>100.01</v>
      </c>
      <c r="BB141" s="223">
        <v>150</v>
      </c>
      <c r="BC141" s="223" t="b">
        <f ca="1">+AND(tip=AZ141,hektari&gt;=BA141,hektari&lt;=BB141,TRUE)</f>
        <v>0</v>
      </c>
      <c r="BD141" s="223">
        <v>180</v>
      </c>
    </row>
    <row r="142" spans="1:56" x14ac:dyDescent="0.2">
      <c r="A142" s="118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292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Z142" s="222">
        <v>363</v>
      </c>
      <c r="BA142" s="223">
        <v>150.01</v>
      </c>
      <c r="BB142" s="223"/>
      <c r="BC142" s="223" t="b">
        <f ca="1">+AND(tip=AZ142,hektari&gt;=BA142,TRUE)</f>
        <v>0</v>
      </c>
      <c r="BD142" s="223">
        <v>220</v>
      </c>
    </row>
    <row r="143" spans="1:56" ht="21.75" customHeight="1" x14ac:dyDescent="0.2">
      <c r="A143" s="118"/>
      <c r="U143" s="7"/>
      <c r="V143" s="7"/>
      <c r="W143" s="7"/>
      <c r="X143" s="7"/>
      <c r="Y143" s="7"/>
      <c r="Z143" s="7"/>
      <c r="AZ143" s="222">
        <v>364</v>
      </c>
      <c r="BA143" s="223">
        <v>0</v>
      </c>
      <c r="BB143" s="223">
        <v>10</v>
      </c>
      <c r="BC143" s="223" t="b">
        <f ca="1">+AND(tip=AZ143,hektari&gt;=BA143,hektari&lt;=BB143,TRUE)</f>
        <v>0</v>
      </c>
      <c r="BD143" s="223">
        <v>70</v>
      </c>
    </row>
    <row r="144" spans="1:56" x14ac:dyDescent="0.2">
      <c r="A144" s="118"/>
      <c r="U144" s="7"/>
      <c r="V144" s="7"/>
      <c r="W144" s="7"/>
      <c r="X144" s="7"/>
      <c r="Y144" s="7"/>
      <c r="Z144" s="7"/>
      <c r="AZ144" s="222">
        <v>364</v>
      </c>
      <c r="BA144" s="223">
        <v>10.01</v>
      </c>
      <c r="BB144" s="223">
        <v>50</v>
      </c>
      <c r="BC144" s="223" t="b">
        <f ca="1">+AND(tip=AZ144,hektari&gt;=BA144,hektari&lt;=BB144,TRUE)</f>
        <v>0</v>
      </c>
      <c r="BD144" s="223">
        <v>95</v>
      </c>
    </row>
    <row r="145" spans="1:56" ht="21.75" customHeight="1" x14ac:dyDescent="0.2">
      <c r="A145" s="118"/>
      <c r="AZ145" s="222">
        <v>364</v>
      </c>
      <c r="BA145" s="223">
        <v>50.01</v>
      </c>
      <c r="BB145" s="223">
        <v>100</v>
      </c>
      <c r="BC145" s="223" t="b">
        <f ca="1">+AND(tip=AZ145,hektari&gt;=BA145,hektari&lt;=BB145,TRUE)</f>
        <v>0</v>
      </c>
      <c r="BD145" s="223">
        <v>120</v>
      </c>
    </row>
    <row r="146" spans="1:56" x14ac:dyDescent="0.2">
      <c r="A146" s="118"/>
      <c r="AZ146" s="222">
        <v>364</v>
      </c>
      <c r="BA146" s="223">
        <v>100.01</v>
      </c>
      <c r="BB146" s="223">
        <v>150</v>
      </c>
      <c r="BC146" s="223" t="b">
        <f ca="1">+AND(tip=AZ146,hektari&gt;=BA146,hektari&lt;=BB146,TRUE)</f>
        <v>0</v>
      </c>
      <c r="BD146" s="223">
        <v>180</v>
      </c>
    </row>
    <row r="147" spans="1:56" ht="21.75" customHeight="1" x14ac:dyDescent="0.2">
      <c r="A147" s="118"/>
      <c r="AZ147" s="222">
        <v>364</v>
      </c>
      <c r="BA147" s="223">
        <v>150.01</v>
      </c>
      <c r="BB147" s="223"/>
      <c r="BC147" s="223" t="b">
        <f ca="1">+AND(tip=AZ147,hektari&gt;=BA147,TRUE)</f>
        <v>0</v>
      </c>
      <c r="BD147" s="223">
        <v>220</v>
      </c>
    </row>
    <row r="148" spans="1:56" ht="14.25" customHeight="1" x14ac:dyDescent="0.2">
      <c r="A148" s="118"/>
      <c r="AZ148" s="222">
        <v>365</v>
      </c>
      <c r="BA148" s="223">
        <v>0</v>
      </c>
      <c r="BB148" s="223">
        <v>10</v>
      </c>
      <c r="BC148" s="223" t="b">
        <f ca="1">+AND(tip=AZ148,hektari&gt;=BA148,hektari&lt;=BB148,TRUE)</f>
        <v>0</v>
      </c>
      <c r="BD148" s="223">
        <v>70</v>
      </c>
    </row>
    <row r="149" spans="1:56" ht="21.75" customHeight="1" x14ac:dyDescent="0.2">
      <c r="A149" s="118"/>
      <c r="AZ149" s="222">
        <v>365</v>
      </c>
      <c r="BA149" s="223">
        <v>10.01</v>
      </c>
      <c r="BB149" s="223">
        <v>50</v>
      </c>
      <c r="BC149" s="223" t="b">
        <f ca="1">+AND(tip=AZ149,hektari&gt;=BA149,hektari&lt;=BB149,TRUE)</f>
        <v>0</v>
      </c>
      <c r="BD149" s="223">
        <v>95</v>
      </c>
    </row>
    <row r="150" spans="1:56" ht="14.25" customHeight="1" x14ac:dyDescent="0.2">
      <c r="A150" s="118"/>
      <c r="AZ150" s="222">
        <v>365</v>
      </c>
      <c r="BA150" s="223">
        <v>50.01</v>
      </c>
      <c r="BB150" s="223">
        <v>100</v>
      </c>
      <c r="BC150" s="223" t="b">
        <f ca="1">+AND(tip=AZ150,hektari&gt;=BA150,hektari&lt;=BB150,TRUE)</f>
        <v>0</v>
      </c>
      <c r="BD150" s="223">
        <v>120</v>
      </c>
    </row>
    <row r="151" spans="1:56" ht="21.75" customHeight="1" x14ac:dyDescent="0.2">
      <c r="A151" s="118"/>
      <c r="AZ151" s="222">
        <v>365</v>
      </c>
      <c r="BA151" s="223">
        <v>100.01</v>
      </c>
      <c r="BB151" s="223">
        <v>150</v>
      </c>
      <c r="BC151" s="223" t="b">
        <f ca="1">+AND(tip=AZ151,hektari&gt;=BA151,hektari&lt;=BB151,TRUE)</f>
        <v>0</v>
      </c>
      <c r="BD151" s="223">
        <v>180</v>
      </c>
    </row>
    <row r="152" spans="1:56" x14ac:dyDescent="0.2">
      <c r="A152" s="118"/>
      <c r="AZ152" s="222">
        <v>365</v>
      </c>
      <c r="BA152" s="223">
        <v>150.01</v>
      </c>
      <c r="BB152" s="223"/>
      <c r="BC152" s="223" t="b">
        <f ca="1">+AND(tip=AZ152,hektari&gt;=BA152,TRUE)</f>
        <v>0</v>
      </c>
      <c r="BD152" s="223">
        <v>220</v>
      </c>
    </row>
    <row r="153" spans="1:56" ht="21.75" customHeight="1" x14ac:dyDescent="0.2">
      <c r="A153" s="118"/>
      <c r="AZ153" s="222">
        <v>370</v>
      </c>
      <c r="BA153" s="223">
        <v>0</v>
      </c>
      <c r="BB153" s="223">
        <v>10</v>
      </c>
      <c r="BC153" s="223" t="b">
        <f ca="1">+AND(tip=AZ153,hektari&gt;=BA153,hektari&lt;=BB153,TRUE)</f>
        <v>0</v>
      </c>
      <c r="BD153" s="223">
        <v>70</v>
      </c>
    </row>
    <row r="154" spans="1:56" ht="34.5" customHeight="1" x14ac:dyDescent="0.2">
      <c r="A154" s="118"/>
      <c r="AZ154" s="222">
        <v>370</v>
      </c>
      <c r="BA154" s="223">
        <v>10.01</v>
      </c>
      <c r="BB154" s="223">
        <v>50</v>
      </c>
      <c r="BC154" s="223" t="b">
        <f ca="1">+AND(tip=AZ154,hektari&gt;=BA154,hektari&lt;=BB154,TRUE)</f>
        <v>0</v>
      </c>
      <c r="BD154" s="223">
        <v>95</v>
      </c>
    </row>
    <row r="155" spans="1:56" ht="21" customHeight="1" x14ac:dyDescent="0.2">
      <c r="A155" s="118"/>
      <c r="AZ155" s="222">
        <v>370</v>
      </c>
      <c r="BA155" s="223">
        <v>50.01</v>
      </c>
      <c r="BB155" s="223">
        <v>100</v>
      </c>
      <c r="BC155" s="223" t="b">
        <f ca="1">+AND(tip=AZ155,hektari&gt;=BA155,hektari&lt;=BB155,TRUE)</f>
        <v>0</v>
      </c>
      <c r="BD155" s="223">
        <v>120</v>
      </c>
    </row>
    <row r="156" spans="1:56" ht="14.25" customHeight="1" x14ac:dyDescent="0.2">
      <c r="A156" s="118"/>
      <c r="AZ156" s="222">
        <v>370</v>
      </c>
      <c r="BA156" s="223">
        <v>100.01</v>
      </c>
      <c r="BB156" s="223">
        <v>150</v>
      </c>
      <c r="BC156" s="223" t="b">
        <f ca="1">+AND(tip=AZ156,hektari&gt;=BA156,hektari&lt;=BB156,TRUE)</f>
        <v>0</v>
      </c>
      <c r="BD156" s="223">
        <v>180</v>
      </c>
    </row>
    <row r="157" spans="1:56" ht="14.25" customHeight="1" x14ac:dyDescent="0.2">
      <c r="A157" s="118"/>
      <c r="AZ157" s="222">
        <v>370</v>
      </c>
      <c r="BA157" s="223">
        <v>150.01</v>
      </c>
      <c r="BB157" s="223"/>
      <c r="BC157" s="223" t="b">
        <f ca="1">+AND(tip=AZ157,hektari&gt;=BA157,TRUE)</f>
        <v>0</v>
      </c>
      <c r="BD157" s="223">
        <v>220</v>
      </c>
    </row>
    <row r="158" spans="1:56" x14ac:dyDescent="0.2">
      <c r="A158" s="118"/>
      <c r="AZ158" s="222">
        <v>380</v>
      </c>
      <c r="BA158" s="223">
        <v>0</v>
      </c>
      <c r="BB158" s="223">
        <v>10</v>
      </c>
      <c r="BC158" s="223" t="b">
        <f ca="1">+AND(tip=AZ158,hektari&gt;=BA158,hektari&lt;=BB158,TRUE)</f>
        <v>0</v>
      </c>
      <c r="BD158" s="223">
        <v>70</v>
      </c>
    </row>
    <row r="159" spans="1:56" x14ac:dyDescent="0.2">
      <c r="A159" s="118"/>
      <c r="AZ159" s="222">
        <v>380</v>
      </c>
      <c r="BA159" s="223">
        <v>10.01</v>
      </c>
      <c r="BB159" s="223">
        <v>50</v>
      </c>
      <c r="BC159" s="223" t="b">
        <f ca="1">+AND(tip=AZ159,hektari&gt;=BA159,hektari&lt;=BB159,TRUE)</f>
        <v>0</v>
      </c>
      <c r="BD159" s="223">
        <v>95</v>
      </c>
    </row>
    <row r="160" spans="1:56" x14ac:dyDescent="0.2">
      <c r="AZ160" s="222">
        <v>380</v>
      </c>
      <c r="BA160" s="223">
        <v>50.01</v>
      </c>
      <c r="BB160" s="223">
        <v>100</v>
      </c>
      <c r="BC160" s="223" t="b">
        <f ca="1">+AND(tip=AZ160,hektari&gt;=BA160,hektari&lt;=BB160,TRUE)</f>
        <v>0</v>
      </c>
      <c r="BD160" s="223">
        <v>120</v>
      </c>
    </row>
    <row r="161" spans="52:56" x14ac:dyDescent="0.2">
      <c r="AZ161" s="222">
        <v>380</v>
      </c>
      <c r="BA161" s="223">
        <v>100.01</v>
      </c>
      <c r="BB161" s="223">
        <v>150</v>
      </c>
      <c r="BC161" s="223" t="b">
        <f ca="1">+AND(tip=AZ161,hektari&gt;=BA161,hektari&lt;=BB161,TRUE)</f>
        <v>0</v>
      </c>
      <c r="BD161" s="223">
        <v>180</v>
      </c>
    </row>
    <row r="162" spans="52:56" x14ac:dyDescent="0.2">
      <c r="AZ162" s="222">
        <v>380</v>
      </c>
      <c r="BA162" s="223">
        <v>150.01</v>
      </c>
      <c r="BB162" s="223"/>
      <c r="BC162" s="223" t="b">
        <f ca="1">+AND(tip=AZ162,hektari&gt;=BA162,TRUE)</f>
        <v>0</v>
      </c>
      <c r="BD162" s="223">
        <v>220</v>
      </c>
    </row>
    <row r="163" spans="52:56" x14ac:dyDescent="0.2">
      <c r="AZ163" s="222">
        <v>842</v>
      </c>
      <c r="BA163" s="223">
        <v>0</v>
      </c>
      <c r="BB163" s="223">
        <v>10</v>
      </c>
      <c r="BC163" s="223" t="b">
        <f ca="1">+AND(tip=AZ163,hektari&gt;=BA163,hektari&lt;=BB163,TRUE)</f>
        <v>0</v>
      </c>
      <c r="BD163" s="223">
        <v>70</v>
      </c>
    </row>
    <row r="164" spans="52:56" x14ac:dyDescent="0.2">
      <c r="AZ164" s="222">
        <v>842</v>
      </c>
      <c r="BA164" s="223">
        <v>10.01</v>
      </c>
      <c r="BB164" s="223">
        <v>50</v>
      </c>
      <c r="BC164" s="223" t="b">
        <f ca="1">+AND(tip=AZ164,hektari&gt;=BA164,hektari&lt;=BB164,TRUE)</f>
        <v>0</v>
      </c>
      <c r="BD164" s="223">
        <v>95</v>
      </c>
    </row>
    <row r="165" spans="52:56" x14ac:dyDescent="0.2">
      <c r="AZ165" s="222">
        <v>842</v>
      </c>
      <c r="BA165" s="223">
        <v>50.01</v>
      </c>
      <c r="BB165" s="223">
        <v>100</v>
      </c>
      <c r="BC165" s="223" t="b">
        <f ca="1">+AND(tip=AZ165,hektari&gt;=BA165,hektari&lt;=BB165,TRUE)</f>
        <v>0</v>
      </c>
      <c r="BD165" s="223">
        <v>120</v>
      </c>
    </row>
    <row r="166" spans="52:56" x14ac:dyDescent="0.2">
      <c r="AZ166" s="222">
        <v>842</v>
      </c>
      <c r="BA166" s="223">
        <v>100.01</v>
      </c>
      <c r="BB166" s="223">
        <v>150</v>
      </c>
      <c r="BC166" s="223" t="b">
        <f ca="1">+AND(tip=AZ166,hektari&gt;=BA166,hektari&lt;=BB166,TRUE)</f>
        <v>0</v>
      </c>
      <c r="BD166" s="223">
        <v>180</v>
      </c>
    </row>
    <row r="167" spans="52:56" x14ac:dyDescent="0.2">
      <c r="AZ167" s="222">
        <v>842</v>
      </c>
      <c r="BA167" s="223">
        <v>150.01</v>
      </c>
      <c r="BB167" s="223"/>
      <c r="BC167" s="223" t="b">
        <f ca="1">+AND(tip=AZ167,hektari&gt;=BA167,TRUE)</f>
        <v>0</v>
      </c>
      <c r="BD167" s="223">
        <v>220</v>
      </c>
    </row>
    <row r="168" spans="52:56" x14ac:dyDescent="0.2">
      <c r="AZ168" s="222">
        <v>450</v>
      </c>
      <c r="BA168" s="223">
        <v>0</v>
      </c>
      <c r="BB168" s="223">
        <v>50</v>
      </c>
      <c r="BC168" s="223" t="b">
        <f ca="1">+AND(tip=AZ168,grla&gt;=BA168,grla&lt;=BB168,TRUE)</f>
        <v>0</v>
      </c>
      <c r="BD168" s="223">
        <v>110</v>
      </c>
    </row>
    <row r="169" spans="52:56" x14ac:dyDescent="0.2">
      <c r="AZ169" s="222">
        <v>450</v>
      </c>
      <c r="BA169" s="223">
        <v>51</v>
      </c>
      <c r="BB169" s="223">
        <v>150</v>
      </c>
      <c r="BC169" s="223" t="b">
        <f ca="1">+AND(tip=AZ169,grla&gt;=BA169,grla&lt;=BB169,TRUE)</f>
        <v>0</v>
      </c>
      <c r="BD169" s="223">
        <v>150</v>
      </c>
    </row>
    <row r="170" spans="52:56" x14ac:dyDescent="0.2">
      <c r="AZ170" s="222">
        <v>450</v>
      </c>
      <c r="BA170" s="223">
        <v>151</v>
      </c>
      <c r="BB170" s="223">
        <v>300</v>
      </c>
      <c r="BC170" s="223" t="b">
        <f ca="1">+AND(tip=AZ170,grla&gt;=BA170,grla&lt;=BB170,TRUE)</f>
        <v>0</v>
      </c>
      <c r="BD170" s="223">
        <v>200</v>
      </c>
    </row>
    <row r="171" spans="52:56" x14ac:dyDescent="0.2">
      <c r="AZ171" s="222">
        <v>450</v>
      </c>
      <c r="BA171" s="223">
        <v>301</v>
      </c>
      <c r="BB171" s="223">
        <v>500</v>
      </c>
      <c r="BC171" s="223" t="b">
        <f ca="1">+AND(tip=AZ171,grla&gt;=BA171,grla&lt;=BB171,TRUE)</f>
        <v>0</v>
      </c>
      <c r="BD171" s="223">
        <v>240</v>
      </c>
    </row>
    <row r="172" spans="52:56" x14ac:dyDescent="0.2">
      <c r="AZ172" s="222">
        <v>450</v>
      </c>
      <c r="BA172" s="223">
        <v>501</v>
      </c>
      <c r="BB172" s="223"/>
      <c r="BC172" s="223" t="b">
        <f ca="1">+AND(tip=AZ172,grla&gt;=BA172,TRUE)</f>
        <v>0</v>
      </c>
      <c r="BD172" s="223">
        <v>300</v>
      </c>
    </row>
    <row r="173" spans="52:56" x14ac:dyDescent="0.2">
      <c r="AZ173" s="222">
        <v>731</v>
      </c>
      <c r="BA173" s="223">
        <v>0</v>
      </c>
      <c r="BB173" s="223">
        <v>50</v>
      </c>
      <c r="BC173" s="223" t="b">
        <f ca="1">+AND(tip=AZ173,grla&gt;=BA173,grla&lt;=BB173,TRUE)</f>
        <v>0</v>
      </c>
      <c r="BD173" s="223">
        <v>110</v>
      </c>
    </row>
    <row r="174" spans="52:56" x14ac:dyDescent="0.2">
      <c r="AZ174" s="222">
        <v>731</v>
      </c>
      <c r="BA174" s="223">
        <v>51</v>
      </c>
      <c r="BB174" s="223">
        <v>150</v>
      </c>
      <c r="BC174" s="223" t="b">
        <f ca="1">+AND(tip=AZ174,grla&gt;=BA174,grla&lt;=BB174,TRUE)</f>
        <v>0</v>
      </c>
      <c r="BD174" s="223">
        <v>150</v>
      </c>
    </row>
    <row r="175" spans="52:56" x14ac:dyDescent="0.2">
      <c r="AZ175" s="222">
        <v>731</v>
      </c>
      <c r="BA175" s="223">
        <v>151</v>
      </c>
      <c r="BB175" s="223">
        <v>300</v>
      </c>
      <c r="BC175" s="223" t="b">
        <f ca="1">+AND(tip=AZ175,grla&gt;=BA175,grla&lt;=BB175,TRUE)</f>
        <v>0</v>
      </c>
      <c r="BD175" s="223">
        <v>200</v>
      </c>
    </row>
    <row r="176" spans="52:56" x14ac:dyDescent="0.2">
      <c r="AZ176" s="222">
        <v>731</v>
      </c>
      <c r="BA176" s="223">
        <v>301</v>
      </c>
      <c r="BB176" s="223">
        <v>500</v>
      </c>
      <c r="BC176" s="223" t="b">
        <f ca="1">+AND(tip=AZ176,grla&gt;=BA176,grla&lt;=BB176,TRUE)</f>
        <v>0</v>
      </c>
      <c r="BD176" s="223">
        <v>240</v>
      </c>
    </row>
    <row r="177" spans="52:56" x14ac:dyDescent="0.2">
      <c r="AZ177" s="222">
        <v>731</v>
      </c>
      <c r="BA177" s="223">
        <v>501</v>
      </c>
      <c r="BB177" s="223"/>
      <c r="BC177" s="223" t="b">
        <f ca="1">+AND(tip=AZ177,grla&gt;=BA177,TRUE)</f>
        <v>0</v>
      </c>
      <c r="BD177" s="223">
        <v>300</v>
      </c>
    </row>
    <row r="178" spans="52:56" x14ac:dyDescent="0.2">
      <c r="AZ178" s="222">
        <v>741</v>
      </c>
      <c r="BA178" s="223">
        <v>0</v>
      </c>
      <c r="BB178" s="223">
        <v>50</v>
      </c>
      <c r="BC178" s="223" t="b">
        <f ca="1">+AND(tip=AZ178,grla&gt;=BA178,grla&lt;=BB178,TRUE)</f>
        <v>0</v>
      </c>
      <c r="BD178" s="223">
        <v>110</v>
      </c>
    </row>
    <row r="179" spans="52:56" x14ac:dyDescent="0.2">
      <c r="AZ179" s="222">
        <v>741</v>
      </c>
      <c r="BA179" s="223">
        <v>51</v>
      </c>
      <c r="BB179" s="223">
        <v>150</v>
      </c>
      <c r="BC179" s="223" t="b">
        <f ca="1">+AND(tip=AZ179,grla&gt;=BA179,grla&lt;=BB179,TRUE)</f>
        <v>0</v>
      </c>
      <c r="BD179" s="223">
        <v>150</v>
      </c>
    </row>
    <row r="180" spans="52:56" x14ac:dyDescent="0.2">
      <c r="AZ180" s="222">
        <v>741</v>
      </c>
      <c r="BA180" s="223">
        <v>151</v>
      </c>
      <c r="BB180" s="223">
        <v>300</v>
      </c>
      <c r="BC180" s="223" t="b">
        <f ca="1">+AND(tip=AZ180,grla&gt;=BA180,grla&lt;=BB180,TRUE)</f>
        <v>0</v>
      </c>
      <c r="BD180" s="223">
        <v>200</v>
      </c>
    </row>
    <row r="181" spans="52:56" x14ac:dyDescent="0.2">
      <c r="AZ181" s="222">
        <v>741</v>
      </c>
      <c r="BA181" s="223">
        <v>301</v>
      </c>
      <c r="BB181" s="223">
        <v>500</v>
      </c>
      <c r="BC181" s="223" t="b">
        <f ca="1">+AND(tip=AZ181,grla&gt;=BA181,grla&lt;=BB181,TRUE)</f>
        <v>0</v>
      </c>
      <c r="BD181" s="223">
        <v>240</v>
      </c>
    </row>
    <row r="182" spans="52:56" x14ac:dyDescent="0.2">
      <c r="AZ182" s="222">
        <v>741</v>
      </c>
      <c r="BA182" s="223">
        <v>501</v>
      </c>
      <c r="BB182" s="223"/>
      <c r="BC182" s="223" t="b">
        <f ca="1">+AND(tip=AZ182,grla&gt;=BA182,TRUE)</f>
        <v>0</v>
      </c>
      <c r="BD182" s="223">
        <v>300</v>
      </c>
    </row>
    <row r="183" spans="52:56" x14ac:dyDescent="0.2">
      <c r="AZ183" s="222">
        <v>832</v>
      </c>
      <c r="BA183" s="223">
        <v>0</v>
      </c>
      <c r="BB183" s="223">
        <v>50</v>
      </c>
      <c r="BC183" s="223" t="b">
        <f ca="1">+AND(tip=AZ183,grla&gt;=BA183,grla&lt;=BB183,TRUE)</f>
        <v>0</v>
      </c>
      <c r="BD183" s="223">
        <v>110</v>
      </c>
    </row>
    <row r="184" spans="52:56" x14ac:dyDescent="0.2">
      <c r="AZ184" s="222">
        <v>832</v>
      </c>
      <c r="BA184" s="223">
        <v>51</v>
      </c>
      <c r="BB184" s="223">
        <v>150</v>
      </c>
      <c r="BC184" s="223" t="b">
        <f ca="1">+AND(tip=AZ184,grla&gt;=BA184,grla&lt;=BB184,TRUE)</f>
        <v>0</v>
      </c>
      <c r="BD184" s="223">
        <v>150</v>
      </c>
    </row>
    <row r="185" spans="52:56" x14ac:dyDescent="0.2">
      <c r="AZ185" s="222">
        <v>832</v>
      </c>
      <c r="BA185" s="223">
        <v>151</v>
      </c>
      <c r="BB185" s="223">
        <v>300</v>
      </c>
      <c r="BC185" s="223" t="b">
        <f ca="1">+AND(tip=AZ185,grla&gt;=BA185,grla&lt;=BB185,TRUE)</f>
        <v>0</v>
      </c>
      <c r="BD185" s="223">
        <v>200</v>
      </c>
    </row>
    <row r="186" spans="52:56" x14ac:dyDescent="0.2">
      <c r="AZ186" s="222">
        <v>832</v>
      </c>
      <c r="BA186" s="223">
        <v>301</v>
      </c>
      <c r="BB186" s="223">
        <v>500</v>
      </c>
      <c r="BC186" s="223" t="b">
        <f ca="1">+AND(tip=AZ186,grla&gt;=BA186,grla&lt;=BB186,TRUE)</f>
        <v>0</v>
      </c>
      <c r="BD186" s="223">
        <v>240</v>
      </c>
    </row>
    <row r="187" spans="52:56" x14ac:dyDescent="0.2">
      <c r="AZ187" s="222">
        <v>832</v>
      </c>
      <c r="BA187" s="223">
        <v>501</v>
      </c>
      <c r="BB187" s="223"/>
      <c r="BC187" s="223" t="b">
        <f ca="1">+AND(tip=AZ187,grla&gt;=BA187,TRUE)</f>
        <v>0</v>
      </c>
      <c r="BD187" s="223">
        <v>300</v>
      </c>
    </row>
    <row r="188" spans="52:56" x14ac:dyDescent="0.2">
      <c r="AZ188" s="222">
        <v>481</v>
      </c>
      <c r="BA188" s="223">
        <v>0</v>
      </c>
      <c r="BB188" s="223">
        <v>150</v>
      </c>
      <c r="BC188" s="223" t="b">
        <f ca="1">+AND(tip=AZ188,grla&gt;=BA188,grla&lt;=BB188,TRUE)</f>
        <v>0</v>
      </c>
      <c r="BD188" s="223">
        <v>80</v>
      </c>
    </row>
    <row r="189" spans="52:56" x14ac:dyDescent="0.2">
      <c r="AZ189" s="222">
        <v>481</v>
      </c>
      <c r="BA189" s="223">
        <v>151</v>
      </c>
      <c r="BB189" s="223">
        <v>500</v>
      </c>
      <c r="BC189" s="223" t="b">
        <f ca="1">+AND(tip=AZ189,grla&gt;=BA189,grla&lt;=BB189,TRUE)</f>
        <v>0</v>
      </c>
      <c r="BD189" s="223">
        <v>110</v>
      </c>
    </row>
    <row r="190" spans="52:56" x14ac:dyDescent="0.2">
      <c r="AZ190" s="222">
        <v>481</v>
      </c>
      <c r="BA190" s="223">
        <v>501</v>
      </c>
      <c r="BB190" s="223">
        <v>1000</v>
      </c>
      <c r="BC190" s="223" t="b">
        <f ca="1">+AND(tip=AZ190,grla&gt;=BA190,grla&lt;=BB190,TRUE)</f>
        <v>0</v>
      </c>
      <c r="BD190" s="223">
        <v>150</v>
      </c>
    </row>
    <row r="191" spans="52:56" x14ac:dyDescent="0.2">
      <c r="AZ191" s="222">
        <v>481</v>
      </c>
      <c r="BA191" s="223">
        <v>1001</v>
      </c>
      <c r="BB191" s="223">
        <v>3000</v>
      </c>
      <c r="BC191" s="223" t="b">
        <f ca="1">+AND(tip=AZ191,grla&gt;=BA191,grla&lt;=BB191,TRUE)</f>
        <v>0</v>
      </c>
      <c r="BD191" s="223">
        <v>180</v>
      </c>
    </row>
    <row r="192" spans="52:56" x14ac:dyDescent="0.2">
      <c r="AZ192" s="222">
        <v>481</v>
      </c>
      <c r="BA192" s="223">
        <v>3001</v>
      </c>
      <c r="BB192" s="223"/>
      <c r="BC192" s="223" t="b">
        <f ca="1">+AND(tip=AZ192,grla&gt;=BA192,TRUE)</f>
        <v>0</v>
      </c>
      <c r="BD192" s="223">
        <v>240</v>
      </c>
    </row>
    <row r="193" spans="52:56" x14ac:dyDescent="0.2">
      <c r="AZ193" s="222">
        <v>482</v>
      </c>
      <c r="BA193" s="223">
        <v>0</v>
      </c>
      <c r="BB193" s="223">
        <v>150</v>
      </c>
      <c r="BC193" s="223" t="b">
        <f ca="1">+AND(tip=AZ193,grla&gt;=BA193,grla&lt;=BB193,TRUE)</f>
        <v>0</v>
      </c>
      <c r="BD193" s="223">
        <v>80</v>
      </c>
    </row>
    <row r="194" spans="52:56" x14ac:dyDescent="0.2">
      <c r="AZ194" s="222">
        <v>482</v>
      </c>
      <c r="BA194" s="223">
        <v>151</v>
      </c>
      <c r="BB194" s="223">
        <v>500</v>
      </c>
      <c r="BC194" s="223" t="b">
        <f ca="1">+AND(tip=AZ194,grla&gt;=BA194,grla&lt;=BB194,TRUE)</f>
        <v>0</v>
      </c>
      <c r="BD194" s="223">
        <v>110</v>
      </c>
    </row>
    <row r="195" spans="52:56" x14ac:dyDescent="0.2">
      <c r="AZ195" s="222">
        <v>482</v>
      </c>
      <c r="BA195" s="223">
        <v>501</v>
      </c>
      <c r="BB195" s="223">
        <v>1000</v>
      </c>
      <c r="BC195" s="223" t="b">
        <f ca="1">+AND(tip=AZ195,grla&gt;=BA195,grla&lt;=BB195,TRUE)</f>
        <v>0</v>
      </c>
      <c r="BD195" s="223">
        <v>150</v>
      </c>
    </row>
    <row r="196" spans="52:56" x14ac:dyDescent="0.2">
      <c r="AZ196" s="222">
        <v>482</v>
      </c>
      <c r="BA196" s="223">
        <v>1001</v>
      </c>
      <c r="BB196" s="223">
        <v>3000</v>
      </c>
      <c r="BC196" s="223" t="b">
        <f ca="1">+AND(tip=AZ196,grla&gt;=BA196,grla&lt;=BB196,TRUE)</f>
        <v>0</v>
      </c>
      <c r="BD196" s="223">
        <v>180</v>
      </c>
    </row>
    <row r="197" spans="52:56" x14ac:dyDescent="0.2">
      <c r="AZ197" s="222">
        <v>482</v>
      </c>
      <c r="BA197" s="223">
        <v>3001</v>
      </c>
      <c r="BB197" s="223"/>
      <c r="BC197" s="223" t="b">
        <f ca="1">+AND(tip=AZ197,grla&gt;=BA197,TRUE)</f>
        <v>0</v>
      </c>
      <c r="BD197" s="223">
        <v>240</v>
      </c>
    </row>
    <row r="198" spans="52:56" x14ac:dyDescent="0.2">
      <c r="AZ198" s="222">
        <v>483</v>
      </c>
      <c r="BA198" s="223">
        <v>0</v>
      </c>
      <c r="BB198" s="223">
        <v>150</v>
      </c>
      <c r="BC198" s="223" t="b">
        <f ca="1">+AND(tip=AZ198,grla&gt;=BA198,grla&lt;=BB198,TRUE)</f>
        <v>0</v>
      </c>
      <c r="BD198" s="223">
        <v>80</v>
      </c>
    </row>
    <row r="199" spans="52:56" x14ac:dyDescent="0.2">
      <c r="AZ199" s="222">
        <v>483</v>
      </c>
      <c r="BA199" s="223">
        <v>151</v>
      </c>
      <c r="BB199" s="223">
        <v>500</v>
      </c>
      <c r="BC199" s="223" t="b">
        <f ca="1">+AND(tip=AZ199,grla&gt;=BA199,grla&lt;=BB199,TRUE)</f>
        <v>0</v>
      </c>
      <c r="BD199" s="223">
        <v>110</v>
      </c>
    </row>
    <row r="200" spans="52:56" x14ac:dyDescent="0.2">
      <c r="AZ200" s="222">
        <v>483</v>
      </c>
      <c r="BA200" s="223">
        <v>501</v>
      </c>
      <c r="BB200" s="223">
        <v>1000</v>
      </c>
      <c r="BC200" s="223" t="b">
        <f ca="1">+AND(tip=AZ200,grla&gt;=BA200,grla&lt;=BB200,TRUE)</f>
        <v>0</v>
      </c>
      <c r="BD200" s="223">
        <v>150</v>
      </c>
    </row>
    <row r="201" spans="52:56" x14ac:dyDescent="0.2">
      <c r="AZ201" s="222">
        <v>483</v>
      </c>
      <c r="BA201" s="223">
        <v>1001</v>
      </c>
      <c r="BB201" s="223">
        <v>3000</v>
      </c>
      <c r="BC201" s="223" t="b">
        <f ca="1">+AND(tip=AZ201,grla&gt;=BA201,grla&lt;=BB201,TRUE)</f>
        <v>0</v>
      </c>
      <c r="BD201" s="223">
        <v>180</v>
      </c>
    </row>
    <row r="202" spans="52:56" x14ac:dyDescent="0.2">
      <c r="AZ202" s="222">
        <v>483</v>
      </c>
      <c r="BA202" s="223">
        <v>3001</v>
      </c>
      <c r="BB202" s="223"/>
      <c r="BC202" s="223" t="b">
        <f ca="1">+AND(tip=AZ202,grla&gt;=BA202,TRUE)</f>
        <v>0</v>
      </c>
      <c r="BD202" s="223">
        <v>240</v>
      </c>
    </row>
    <row r="203" spans="52:56" x14ac:dyDescent="0.2">
      <c r="AZ203" s="222">
        <v>484</v>
      </c>
      <c r="BA203" s="223">
        <v>0</v>
      </c>
      <c r="BB203" s="223">
        <v>150</v>
      </c>
      <c r="BC203" s="223" t="b">
        <f ca="1">+AND(tip=AZ203,grla&gt;=BA203,grla&lt;=BB203,TRUE)</f>
        <v>0</v>
      </c>
      <c r="BD203" s="223">
        <v>80</v>
      </c>
    </row>
    <row r="204" spans="52:56" x14ac:dyDescent="0.2">
      <c r="AZ204" s="222">
        <v>484</v>
      </c>
      <c r="BA204" s="223">
        <v>151</v>
      </c>
      <c r="BB204" s="223">
        <v>500</v>
      </c>
      <c r="BC204" s="223" t="b">
        <f ca="1">+AND(tip=AZ204,grla&gt;=BA204,grla&lt;=BB204,TRUE)</f>
        <v>0</v>
      </c>
      <c r="BD204" s="223">
        <v>110</v>
      </c>
    </row>
    <row r="205" spans="52:56" x14ac:dyDescent="0.2">
      <c r="AZ205" s="222">
        <v>484</v>
      </c>
      <c r="BA205" s="223">
        <v>501</v>
      </c>
      <c r="BB205" s="223">
        <v>1000</v>
      </c>
      <c r="BC205" s="223" t="b">
        <f ca="1">+AND(tip=AZ205,grla&gt;=BA205,grla&lt;=BB205,TRUE)</f>
        <v>0</v>
      </c>
      <c r="BD205" s="223">
        <v>150</v>
      </c>
    </row>
    <row r="206" spans="52:56" x14ac:dyDescent="0.2">
      <c r="AZ206" s="222">
        <v>484</v>
      </c>
      <c r="BA206" s="223">
        <v>1001</v>
      </c>
      <c r="BB206" s="223">
        <v>3000</v>
      </c>
      <c r="BC206" s="223" t="b">
        <f ca="1">+AND(tip=AZ206,grla&gt;=BA206,grla&lt;=BB206,TRUE)</f>
        <v>0</v>
      </c>
      <c r="BD206" s="223">
        <v>180</v>
      </c>
    </row>
    <row r="207" spans="52:56" x14ac:dyDescent="0.2">
      <c r="AZ207" s="222">
        <v>484</v>
      </c>
      <c r="BA207" s="223">
        <v>3001</v>
      </c>
      <c r="BB207" s="223"/>
      <c r="BC207" s="223" t="b">
        <f ca="1">+AND(tip=AZ207,grla&gt;=BA207,TRUE)</f>
        <v>0</v>
      </c>
      <c r="BD207" s="223">
        <v>240</v>
      </c>
    </row>
    <row r="208" spans="52:56" x14ac:dyDescent="0.2">
      <c r="AZ208" s="222">
        <v>460</v>
      </c>
      <c r="BA208" s="223">
        <v>0</v>
      </c>
      <c r="BB208" s="223">
        <v>100</v>
      </c>
      <c r="BC208" s="223" t="b">
        <f ca="1">+AND(tip=AZ208,grla&gt;=BA208,grla&lt;=BB208,TRUE)</f>
        <v>0</v>
      </c>
      <c r="BD208" s="223">
        <v>80</v>
      </c>
    </row>
    <row r="209" spans="52:56" x14ac:dyDescent="0.2">
      <c r="AZ209" s="222">
        <v>460</v>
      </c>
      <c r="BA209" s="223">
        <v>101</v>
      </c>
      <c r="BB209" s="223">
        <v>300</v>
      </c>
      <c r="BC209" s="223" t="b">
        <f ca="1">+AND(tip=AZ209,grla&gt;=BA209,grla&lt;=BB209,TRUE)</f>
        <v>0</v>
      </c>
      <c r="BD209" s="223">
        <v>140</v>
      </c>
    </row>
    <row r="210" spans="52:56" x14ac:dyDescent="0.2">
      <c r="AZ210" s="222">
        <v>460</v>
      </c>
      <c r="BA210" s="223">
        <v>301</v>
      </c>
      <c r="BB210" s="223">
        <v>600</v>
      </c>
      <c r="BC210" s="223" t="b">
        <f ca="1">+AND(tip=AZ210,grla&gt;=BA210,grla&lt;=BB210,TRUE)</f>
        <v>0</v>
      </c>
      <c r="BD210" s="223">
        <v>200</v>
      </c>
    </row>
    <row r="211" spans="52:56" x14ac:dyDescent="0.2">
      <c r="AZ211" s="222">
        <v>460</v>
      </c>
      <c r="BA211" s="223">
        <v>601</v>
      </c>
      <c r="BB211" s="223">
        <v>1200</v>
      </c>
      <c r="BC211" s="223" t="b">
        <f ca="1">+AND(tip=AZ211,grla&gt;=BA211,grla&lt;=BB211,TRUE)</f>
        <v>0</v>
      </c>
      <c r="BD211" s="223">
        <v>240</v>
      </c>
    </row>
    <row r="212" spans="52:56" x14ac:dyDescent="0.2">
      <c r="AZ212" s="222">
        <v>460</v>
      </c>
      <c r="BA212" s="223">
        <v>1201</v>
      </c>
      <c r="BB212" s="223"/>
      <c r="BC212" s="223" t="b">
        <f ca="1">+AND(tip=AZ212,grla&gt;=BA212,TRUE)</f>
        <v>0</v>
      </c>
      <c r="BD212" s="223">
        <v>300</v>
      </c>
    </row>
    <row r="213" spans="52:56" x14ac:dyDescent="0.2">
      <c r="AZ213" s="222">
        <v>470</v>
      </c>
      <c r="BA213" s="223">
        <v>0</v>
      </c>
      <c r="BB213" s="223">
        <v>100</v>
      </c>
      <c r="BC213" s="223" t="b">
        <f ca="1">+AND(tip=AZ213,grla&gt;=BA213,grla&lt;=BB213,TRUE)</f>
        <v>0</v>
      </c>
      <c r="BD213" s="223">
        <v>80</v>
      </c>
    </row>
    <row r="214" spans="52:56" x14ac:dyDescent="0.2">
      <c r="AZ214" s="222">
        <v>470</v>
      </c>
      <c r="BA214" s="223">
        <v>101</v>
      </c>
      <c r="BB214" s="223">
        <v>300</v>
      </c>
      <c r="BC214" s="223" t="b">
        <f ca="1">+AND(tip=AZ214,grla&gt;=BA214,grla&lt;=BB214,TRUE)</f>
        <v>0</v>
      </c>
      <c r="BD214" s="223">
        <v>140</v>
      </c>
    </row>
    <row r="215" spans="52:56" x14ac:dyDescent="0.2">
      <c r="AZ215" s="222">
        <v>470</v>
      </c>
      <c r="BA215" s="223">
        <v>301</v>
      </c>
      <c r="BB215" s="223">
        <v>600</v>
      </c>
      <c r="BC215" s="223" t="b">
        <f ca="1">+AND(tip=AZ215,grla&gt;=BA215,grla&lt;=BB215,TRUE)</f>
        <v>0</v>
      </c>
      <c r="BD215" s="223">
        <v>200</v>
      </c>
    </row>
    <row r="216" spans="52:56" x14ac:dyDescent="0.2">
      <c r="AZ216" s="222">
        <v>470</v>
      </c>
      <c r="BA216" s="223">
        <v>601</v>
      </c>
      <c r="BB216" s="223">
        <v>1200</v>
      </c>
      <c r="BC216" s="223" t="b">
        <f ca="1">+AND(tip=AZ216,grla&gt;=BA216,grla&lt;=BB216,TRUE)</f>
        <v>0</v>
      </c>
      <c r="BD216" s="223">
        <v>240</v>
      </c>
    </row>
    <row r="217" spans="52:56" x14ac:dyDescent="0.2">
      <c r="AZ217" s="222">
        <v>470</v>
      </c>
      <c r="BA217" s="223">
        <v>1201</v>
      </c>
      <c r="BB217" s="223"/>
      <c r="BC217" s="223" t="b">
        <f ca="1">+AND(tip=AZ217,grla&gt;=BA217,TRUE)</f>
        <v>0</v>
      </c>
      <c r="BD217" s="223">
        <v>300</v>
      </c>
    </row>
    <row r="218" spans="52:56" x14ac:dyDescent="0.2">
      <c r="AZ218" s="222">
        <v>732</v>
      </c>
      <c r="BA218" s="223">
        <v>0</v>
      </c>
      <c r="BB218" s="223">
        <v>100</v>
      </c>
      <c r="BC218" s="223" t="b">
        <f ca="1">+AND(tip=AZ218,grla&gt;=BA218,grla&lt;=BB218,TRUE)</f>
        <v>0</v>
      </c>
      <c r="BD218" s="223">
        <v>80</v>
      </c>
    </row>
    <row r="219" spans="52:56" x14ac:dyDescent="0.2">
      <c r="AZ219" s="222">
        <v>732</v>
      </c>
      <c r="BA219" s="223">
        <v>101</v>
      </c>
      <c r="BB219" s="223">
        <v>300</v>
      </c>
      <c r="BC219" s="223" t="b">
        <f ca="1">+AND(tip=AZ219,grla&gt;=BA219,grla&lt;=BB219,TRUE)</f>
        <v>0</v>
      </c>
      <c r="BD219" s="223">
        <v>140</v>
      </c>
    </row>
    <row r="220" spans="52:56" x14ac:dyDescent="0.2">
      <c r="AZ220" s="222">
        <v>732</v>
      </c>
      <c r="BA220" s="223">
        <v>301</v>
      </c>
      <c r="BB220" s="223">
        <v>600</v>
      </c>
      <c r="BC220" s="223" t="b">
        <f ca="1">+AND(tip=AZ220,grla&gt;=BA220,grla&lt;=BB220,TRUE)</f>
        <v>0</v>
      </c>
      <c r="BD220" s="223">
        <v>200</v>
      </c>
    </row>
    <row r="221" spans="52:56" x14ac:dyDescent="0.2">
      <c r="AZ221" s="222">
        <v>732</v>
      </c>
      <c r="BA221" s="223">
        <v>601</v>
      </c>
      <c r="BB221" s="223">
        <v>1200</v>
      </c>
      <c r="BC221" s="223" t="b">
        <f ca="1">+AND(tip=AZ221,grla&gt;=BA221,grla&lt;=BB221,TRUE)</f>
        <v>0</v>
      </c>
      <c r="BD221" s="223">
        <v>240</v>
      </c>
    </row>
    <row r="222" spans="52:56" x14ac:dyDescent="0.2">
      <c r="AZ222" s="222">
        <v>732</v>
      </c>
      <c r="BA222" s="223">
        <v>1201</v>
      </c>
      <c r="BB222" s="223"/>
      <c r="BC222" s="223" t="b">
        <f ca="1">+AND(tip=AZ222,grla&gt;=BA222,TRUE)</f>
        <v>0</v>
      </c>
      <c r="BD222" s="223">
        <v>300</v>
      </c>
    </row>
    <row r="223" spans="52:56" x14ac:dyDescent="0.2">
      <c r="AZ223" s="222">
        <v>742</v>
      </c>
      <c r="BA223" s="223">
        <v>0</v>
      </c>
      <c r="BB223" s="223">
        <v>100</v>
      </c>
      <c r="BC223" s="223" t="b">
        <f ca="1">+AND(tip=AZ223,grla&gt;=BA223,grla&lt;=BB223,TRUE)</f>
        <v>0</v>
      </c>
      <c r="BD223" s="223">
        <v>80</v>
      </c>
    </row>
    <row r="224" spans="52:56" x14ac:dyDescent="0.2">
      <c r="AZ224" s="222">
        <v>742</v>
      </c>
      <c r="BA224" s="223">
        <v>101</v>
      </c>
      <c r="BB224" s="223">
        <v>300</v>
      </c>
      <c r="BC224" s="223" t="b">
        <f ca="1">+AND(tip=AZ224,grla&gt;=BA224,grla&lt;=BB224,TRUE)</f>
        <v>0</v>
      </c>
      <c r="BD224" s="223">
        <v>140</v>
      </c>
    </row>
    <row r="225" spans="52:57" x14ac:dyDescent="0.2">
      <c r="AZ225" s="222">
        <v>742</v>
      </c>
      <c r="BA225" s="223">
        <v>301</v>
      </c>
      <c r="BB225" s="223">
        <v>600</v>
      </c>
      <c r="BC225" s="223" t="b">
        <f ca="1">+AND(tip=AZ225,grla&gt;=BA225,grla&lt;=BB225,TRUE)</f>
        <v>0</v>
      </c>
      <c r="BD225" s="223">
        <v>200</v>
      </c>
    </row>
    <row r="226" spans="52:57" x14ac:dyDescent="0.2">
      <c r="AZ226" s="222">
        <v>742</v>
      </c>
      <c r="BA226" s="223">
        <v>601</v>
      </c>
      <c r="BB226" s="223">
        <v>1200</v>
      </c>
      <c r="BC226" s="223" t="b">
        <f ca="1">+AND(tip=AZ226,grla&gt;=BA226,grla&lt;=BB226,TRUE)</f>
        <v>0</v>
      </c>
      <c r="BD226" s="223">
        <v>240</v>
      </c>
    </row>
    <row r="227" spans="52:57" x14ac:dyDescent="0.2">
      <c r="AZ227" s="222">
        <v>742</v>
      </c>
      <c r="BA227" s="223">
        <v>1201</v>
      </c>
      <c r="BB227" s="223"/>
      <c r="BC227" s="223" t="b">
        <f ca="1">+AND(tip=AZ227,grla&gt;=BA227,TRUE)</f>
        <v>0</v>
      </c>
      <c r="BD227" s="223">
        <v>300</v>
      </c>
    </row>
    <row r="228" spans="52:57" x14ac:dyDescent="0.2">
      <c r="AZ228" s="222">
        <v>834</v>
      </c>
      <c r="BA228" s="223">
        <v>0</v>
      </c>
      <c r="BB228" s="223">
        <v>100</v>
      </c>
      <c r="BC228" s="223" t="b">
        <f ca="1">+AND(tip=AZ228,grla&gt;=BA228,grla&lt;=BB228,TRUE)</f>
        <v>0</v>
      </c>
      <c r="BD228" s="223">
        <v>80</v>
      </c>
    </row>
    <row r="229" spans="52:57" x14ac:dyDescent="0.2">
      <c r="AZ229" s="222">
        <v>834</v>
      </c>
      <c r="BA229" s="223">
        <v>101</v>
      </c>
      <c r="BB229" s="223">
        <v>300</v>
      </c>
      <c r="BC229" s="223" t="b">
        <f ca="1">+AND(tip=AZ229,grla&gt;=BA229,grla&lt;=BB229,TRUE)</f>
        <v>0</v>
      </c>
      <c r="BD229" s="223">
        <v>140</v>
      </c>
    </row>
    <row r="230" spans="52:57" x14ac:dyDescent="0.2">
      <c r="AZ230" s="222">
        <v>834</v>
      </c>
      <c r="BA230" s="223">
        <v>301</v>
      </c>
      <c r="BB230" s="223">
        <v>600</v>
      </c>
      <c r="BC230" s="223" t="b">
        <f ca="1">+AND(tip=AZ230,grla&gt;=BA230,grla&lt;=BB230,TRUE)</f>
        <v>0</v>
      </c>
      <c r="BD230" s="223">
        <v>200</v>
      </c>
    </row>
    <row r="231" spans="52:57" x14ac:dyDescent="0.2">
      <c r="AZ231" s="222">
        <v>834</v>
      </c>
      <c r="BA231" s="223">
        <v>601</v>
      </c>
      <c r="BB231" s="223">
        <v>1200</v>
      </c>
      <c r="BC231" s="223" t="b">
        <f ca="1">+AND(tip=AZ231,grla&gt;=BA231,grla&lt;=BB231,TRUE)</f>
        <v>0</v>
      </c>
      <c r="BD231" s="223">
        <v>240</v>
      </c>
    </row>
    <row r="232" spans="52:57" x14ac:dyDescent="0.2">
      <c r="AZ232" s="222">
        <v>834</v>
      </c>
      <c r="BA232" s="223">
        <v>1201</v>
      </c>
      <c r="BB232" s="223"/>
      <c r="BC232" s="223" t="b">
        <f ca="1">+AND(tip=AZ232,grla&gt;=BA232,TRUE)</f>
        <v>0</v>
      </c>
      <c r="BD232" s="223">
        <v>300</v>
      </c>
    </row>
    <row r="233" spans="52:57" x14ac:dyDescent="0.2">
      <c r="AZ233" s="222">
        <v>511</v>
      </c>
      <c r="BA233" s="223">
        <v>0</v>
      </c>
      <c r="BB233" s="223">
        <v>50</v>
      </c>
      <c r="BC233" s="223" t="b">
        <f t="shared" ref="BC233:BC239" ca="1" si="12">+AND(tip=AZ233,grla&gt;=BA233,grla&lt;=BB233,TRUE)</f>
        <v>0</v>
      </c>
      <c r="BD233" s="223">
        <v>80</v>
      </c>
      <c r="BE233" s="3" t="s">
        <v>707</v>
      </c>
    </row>
    <row r="234" spans="52:57" x14ac:dyDescent="0.2">
      <c r="AZ234" s="222">
        <v>511</v>
      </c>
      <c r="BA234" s="223">
        <v>51</v>
      </c>
      <c r="BB234" s="223">
        <v>100</v>
      </c>
      <c r="BC234" s="223" t="b">
        <f t="shared" ca="1" si="12"/>
        <v>0</v>
      </c>
      <c r="BD234" s="223">
        <v>110</v>
      </c>
    </row>
    <row r="235" spans="52:57" x14ac:dyDescent="0.2">
      <c r="AZ235" s="222">
        <v>511</v>
      </c>
      <c r="BA235" s="223">
        <v>101</v>
      </c>
      <c r="BB235" s="223">
        <v>300</v>
      </c>
      <c r="BC235" s="223" t="b">
        <f t="shared" ca="1" si="12"/>
        <v>0</v>
      </c>
      <c r="BD235" s="223">
        <v>140</v>
      </c>
    </row>
    <row r="236" spans="52:57" x14ac:dyDescent="0.2">
      <c r="AZ236" s="222">
        <v>512</v>
      </c>
      <c r="BA236" s="223">
        <v>301</v>
      </c>
      <c r="BB236" s="223">
        <v>400</v>
      </c>
      <c r="BC236" s="223" t="b">
        <f t="shared" ca="1" si="12"/>
        <v>0</v>
      </c>
      <c r="BD236" s="223">
        <v>100</v>
      </c>
      <c r="BE236" s="3" t="s">
        <v>708</v>
      </c>
    </row>
    <row r="237" spans="52:57" x14ac:dyDescent="0.2">
      <c r="AZ237" s="222">
        <v>512</v>
      </c>
      <c r="BA237" s="223">
        <v>401</v>
      </c>
      <c r="BB237" s="223">
        <v>1000</v>
      </c>
      <c r="BC237" s="223" t="b">
        <f t="shared" ca="1" si="12"/>
        <v>0</v>
      </c>
      <c r="BD237" s="223">
        <v>150</v>
      </c>
    </row>
    <row r="238" spans="52:57" x14ac:dyDescent="0.2">
      <c r="AZ238" s="222">
        <v>512</v>
      </c>
      <c r="BA238" s="223">
        <v>1001</v>
      </c>
      <c r="BB238" s="223">
        <v>3000</v>
      </c>
      <c r="BC238" s="223" t="b">
        <f t="shared" ca="1" si="12"/>
        <v>0</v>
      </c>
      <c r="BD238" s="223">
        <v>150</v>
      </c>
    </row>
    <row r="239" spans="52:57" x14ac:dyDescent="0.2">
      <c r="AZ239" s="222">
        <v>512</v>
      </c>
      <c r="BA239" s="223">
        <v>3001</v>
      </c>
      <c r="BB239" s="223">
        <v>5000</v>
      </c>
      <c r="BC239" s="223" t="b">
        <f t="shared" ca="1" si="12"/>
        <v>0</v>
      </c>
      <c r="BD239" s="223">
        <v>200</v>
      </c>
    </row>
    <row r="240" spans="52:57" x14ac:dyDescent="0.2">
      <c r="AZ240" s="222">
        <v>512</v>
      </c>
      <c r="BA240" s="223">
        <v>5001</v>
      </c>
      <c r="BB240" s="223"/>
      <c r="BC240" s="223" t="b">
        <f ca="1">+AND(tip=AZ240,grla&gt;=BA240,TRUE)</f>
        <v>0</v>
      </c>
      <c r="BD240" s="223">
        <v>300</v>
      </c>
    </row>
    <row r="241" spans="52:57" x14ac:dyDescent="0.2">
      <c r="AZ241" s="222">
        <v>513</v>
      </c>
      <c r="BA241" s="223">
        <v>0</v>
      </c>
      <c r="BB241" s="223">
        <v>400</v>
      </c>
      <c r="BC241" s="223" t="b">
        <f ca="1">+AND(tip=AZ241,grla&gt;=BA241,grla&lt;=BB241,TRUE)</f>
        <v>0</v>
      </c>
      <c r="BD241" s="223">
        <v>100</v>
      </c>
      <c r="BE241" s="3" t="s">
        <v>708</v>
      </c>
    </row>
    <row r="242" spans="52:57" x14ac:dyDescent="0.2">
      <c r="AZ242" s="222">
        <v>513</v>
      </c>
      <c r="BA242" s="223">
        <v>401</v>
      </c>
      <c r="BB242" s="223">
        <v>1000</v>
      </c>
      <c r="BC242" s="223" t="b">
        <f ca="1">+AND(tip=AZ242,grla&gt;=BA242,grla&lt;=BB242,TRUE)</f>
        <v>0</v>
      </c>
      <c r="BD242" s="223">
        <v>150</v>
      </c>
    </row>
    <row r="243" spans="52:57" x14ac:dyDescent="0.2">
      <c r="AZ243" s="222">
        <v>513</v>
      </c>
      <c r="BA243" s="223">
        <v>1001</v>
      </c>
      <c r="BB243" s="223">
        <v>3000</v>
      </c>
      <c r="BC243" s="223" t="b">
        <f ca="1">+AND(tip=AZ243,grla&gt;=BA243,grla&lt;=BB243,TRUE)</f>
        <v>0</v>
      </c>
      <c r="BD243" s="223">
        <v>150</v>
      </c>
    </row>
    <row r="244" spans="52:57" x14ac:dyDescent="0.2">
      <c r="AZ244" s="222">
        <v>513</v>
      </c>
      <c r="BA244" s="223">
        <v>3001</v>
      </c>
      <c r="BB244" s="223">
        <v>5000</v>
      </c>
      <c r="BC244" s="223" t="b">
        <f ca="1">+AND(tip=AZ244,grla&gt;=BA244,grla&lt;=BB244,TRUE)</f>
        <v>0</v>
      </c>
      <c r="BD244" s="223">
        <v>200</v>
      </c>
    </row>
    <row r="245" spans="52:57" x14ac:dyDescent="0.2">
      <c r="AZ245" s="222">
        <v>513</v>
      </c>
      <c r="BA245" s="223">
        <v>5001</v>
      </c>
      <c r="BB245" s="223"/>
      <c r="BC245" s="223" t="b">
        <f ca="1">+AND(tip=AZ245,grla&gt;=BA245,TRUE)</f>
        <v>0</v>
      </c>
      <c r="BD245" s="223">
        <v>300</v>
      </c>
    </row>
    <row r="246" spans="52:57" x14ac:dyDescent="0.2">
      <c r="AZ246" s="222">
        <v>530</v>
      </c>
      <c r="BA246" s="223">
        <v>0</v>
      </c>
      <c r="BB246" s="223">
        <v>400</v>
      </c>
      <c r="BC246" s="223" t="b">
        <f ca="1">+AND(tip=AZ246,grla&gt;=BA246,grla&lt;=BB246,TRUE)</f>
        <v>0</v>
      </c>
      <c r="BD246" s="223">
        <v>100</v>
      </c>
      <c r="BE246" s="3" t="s">
        <v>708</v>
      </c>
    </row>
    <row r="247" spans="52:57" x14ac:dyDescent="0.2">
      <c r="AZ247" s="222">
        <v>530</v>
      </c>
      <c r="BA247" s="223">
        <v>401</v>
      </c>
      <c r="BB247" s="223">
        <v>1000</v>
      </c>
      <c r="BC247" s="223" t="b">
        <f ca="1">+AND(tip=AZ247,grla&gt;=BA247,grla&lt;=BB247,TRUE)</f>
        <v>0</v>
      </c>
      <c r="BD247" s="223">
        <v>150</v>
      </c>
    </row>
    <row r="248" spans="52:57" x14ac:dyDescent="0.2">
      <c r="AZ248" s="222">
        <v>530</v>
      </c>
      <c r="BA248" s="223">
        <v>1001</v>
      </c>
      <c r="BB248" s="223">
        <v>3000</v>
      </c>
      <c r="BC248" s="223" t="b">
        <f ca="1">+AND(tip=AZ248,grla&gt;=BA248,grla&lt;=BB248,TRUE)</f>
        <v>0</v>
      </c>
      <c r="BD248" s="223">
        <v>150</v>
      </c>
    </row>
    <row r="249" spans="52:57" x14ac:dyDescent="0.2">
      <c r="AZ249" s="222">
        <v>530</v>
      </c>
      <c r="BA249" s="223">
        <v>3001</v>
      </c>
      <c r="BB249" s="223">
        <v>5000</v>
      </c>
      <c r="BC249" s="223" t="b">
        <f ca="1">+AND(tip=AZ249,grla&gt;=BA249,grla&lt;=BB249,TRUE)</f>
        <v>0</v>
      </c>
      <c r="BD249" s="223">
        <v>200</v>
      </c>
    </row>
    <row r="250" spans="52:57" x14ac:dyDescent="0.2">
      <c r="AZ250" s="222">
        <v>530</v>
      </c>
      <c r="BA250" s="223">
        <v>5001</v>
      </c>
      <c r="BB250" s="223"/>
      <c r="BC250" s="223" t="b">
        <f ca="1">+AND(tip=AZ250,grla&gt;=BA250,TRUE)</f>
        <v>0</v>
      </c>
      <c r="BD250" s="223">
        <v>300</v>
      </c>
    </row>
    <row r="251" spans="52:57" x14ac:dyDescent="0.2">
      <c r="AZ251" s="222">
        <v>521</v>
      </c>
      <c r="BA251" s="223">
        <v>0</v>
      </c>
      <c r="BB251" s="223">
        <v>5000</v>
      </c>
      <c r="BC251" s="223" t="b">
        <f ca="1">+AND(tip=AZ251,kljun&gt;=BA251,kljun&lt;=BB251,TRUE)</f>
        <v>0</v>
      </c>
      <c r="BD251" s="223">
        <v>90</v>
      </c>
      <c r="BE251" s="3" t="s">
        <v>709</v>
      </c>
    </row>
    <row r="252" spans="52:57" x14ac:dyDescent="0.2">
      <c r="AZ252" s="222">
        <v>521</v>
      </c>
      <c r="BA252" s="223">
        <v>5001</v>
      </c>
      <c r="BB252" s="223">
        <v>10000</v>
      </c>
      <c r="BC252" s="223" t="b">
        <f ca="1">+AND(tip=AZ252,kljun&gt;=BA252,kljun&lt;=BB252,TRUE)</f>
        <v>0</v>
      </c>
      <c r="BD252" s="223">
        <v>130</v>
      </c>
    </row>
    <row r="253" spans="52:57" x14ac:dyDescent="0.2">
      <c r="AZ253" s="222">
        <v>521</v>
      </c>
      <c r="BA253" s="223">
        <v>10001</v>
      </c>
      <c r="BB253" s="223">
        <v>15000</v>
      </c>
      <c r="BC253" s="223" t="b">
        <f ca="1">+AND(tip=AZ253,kljun&gt;=BA253,kljun&lt;=BB253,TRUE)</f>
        <v>0</v>
      </c>
      <c r="BD253" s="223">
        <v>160</v>
      </c>
    </row>
    <row r="254" spans="52:57" x14ac:dyDescent="0.2">
      <c r="AZ254" s="222">
        <v>521</v>
      </c>
      <c r="BA254" s="223">
        <v>15000</v>
      </c>
      <c r="BB254" s="223"/>
      <c r="BC254" s="223" t="b">
        <f ca="1">+AND(tip=AZ254,kljun&gt;=BA254,TRUE)</f>
        <v>0</v>
      </c>
      <c r="BD254" s="223">
        <v>240</v>
      </c>
    </row>
    <row r="255" spans="52:57" x14ac:dyDescent="0.2">
      <c r="AZ255" s="222">
        <v>522</v>
      </c>
      <c r="BA255" s="223">
        <v>0</v>
      </c>
      <c r="BB255" s="223">
        <v>5000</v>
      </c>
      <c r="BC255" s="223" t="b">
        <f t="shared" ref="BC255:BC260" ca="1" si="13">+AND(tip=AZ255,kljun&gt;=BA255,kljun&lt;=BB255,TRUE)</f>
        <v>0</v>
      </c>
      <c r="BD255" s="223">
        <v>90</v>
      </c>
    </row>
    <row r="256" spans="52:57" x14ac:dyDescent="0.2">
      <c r="AZ256" s="222">
        <v>522</v>
      </c>
      <c r="BA256" s="223">
        <v>5001</v>
      </c>
      <c r="BB256" s="223">
        <v>20000</v>
      </c>
      <c r="BC256" s="223" t="b">
        <f t="shared" ca="1" si="13"/>
        <v>0</v>
      </c>
      <c r="BD256" s="223">
        <v>130</v>
      </c>
    </row>
    <row r="257" spans="52:57" x14ac:dyDescent="0.2">
      <c r="AZ257" s="222">
        <v>522</v>
      </c>
      <c r="BA257" s="223">
        <v>20001</v>
      </c>
      <c r="BB257" s="223">
        <v>40000</v>
      </c>
      <c r="BC257" s="223" t="b">
        <f t="shared" ca="1" si="13"/>
        <v>0</v>
      </c>
      <c r="BD257" s="223">
        <v>180</v>
      </c>
    </row>
    <row r="258" spans="52:57" x14ac:dyDescent="0.2">
      <c r="AZ258" s="222">
        <v>523</v>
      </c>
      <c r="BA258" s="223">
        <v>0</v>
      </c>
      <c r="BB258" s="223">
        <v>5000</v>
      </c>
      <c r="BC258" s="223" t="b">
        <f t="shared" ca="1" si="13"/>
        <v>0</v>
      </c>
      <c r="BD258" s="223">
        <v>90</v>
      </c>
      <c r="BE258" s="3" t="s">
        <v>709</v>
      </c>
    </row>
    <row r="259" spans="52:57" x14ac:dyDescent="0.2">
      <c r="AZ259" s="222">
        <v>523</v>
      </c>
      <c r="BA259" s="223">
        <v>5001</v>
      </c>
      <c r="BB259" s="223">
        <v>10000</v>
      </c>
      <c r="BC259" s="223" t="b">
        <f t="shared" ca="1" si="13"/>
        <v>0</v>
      </c>
      <c r="BD259" s="223">
        <v>130</v>
      </c>
    </row>
    <row r="260" spans="52:57" x14ac:dyDescent="0.2">
      <c r="AZ260" s="222">
        <v>523</v>
      </c>
      <c r="BA260" s="223">
        <v>10001</v>
      </c>
      <c r="BB260" s="223">
        <v>15000</v>
      </c>
      <c r="BC260" s="223" t="b">
        <f t="shared" ca="1" si="13"/>
        <v>0</v>
      </c>
      <c r="BD260" s="223">
        <v>160</v>
      </c>
    </row>
    <row r="261" spans="52:57" x14ac:dyDescent="0.2">
      <c r="AZ261" s="222">
        <v>523</v>
      </c>
      <c r="BA261" s="223">
        <v>15000</v>
      </c>
      <c r="BB261" s="223"/>
      <c r="BC261" s="223" t="b">
        <f ca="1">+AND(tip=AZ261,kljun&gt;=BA261,TRUE)</f>
        <v>0</v>
      </c>
      <c r="BD261" s="223">
        <v>240</v>
      </c>
    </row>
    <row r="262" spans="52:57" x14ac:dyDescent="0.2">
      <c r="AZ262" s="222">
        <v>611</v>
      </c>
      <c r="BA262" s="223">
        <v>0</v>
      </c>
      <c r="BB262" s="223">
        <v>10</v>
      </c>
      <c r="BC262" s="223" t="b">
        <f ca="1">+AND(tip=AZ262,hektari&gt;=BA262,hektari&lt;=BB262,TRUE)</f>
        <v>0</v>
      </c>
      <c r="BD262" s="223">
        <v>70</v>
      </c>
    </row>
    <row r="263" spans="52:57" x14ac:dyDescent="0.2">
      <c r="AZ263" s="222">
        <v>611</v>
      </c>
      <c r="BA263" s="223">
        <v>10.01</v>
      </c>
      <c r="BB263" s="223">
        <v>50</v>
      </c>
      <c r="BC263" s="223" t="b">
        <f ca="1">+AND(tip=AZ263,hektari&gt;=BA263,hektari&lt;=BB263,TRUE)</f>
        <v>0</v>
      </c>
      <c r="BD263" s="223">
        <v>110</v>
      </c>
    </row>
    <row r="264" spans="52:57" x14ac:dyDescent="0.2">
      <c r="AZ264" s="222">
        <v>611</v>
      </c>
      <c r="BA264" s="223">
        <v>50.01</v>
      </c>
      <c r="BB264" s="223">
        <v>100</v>
      </c>
      <c r="BC264" s="223" t="b">
        <f ca="1">+AND(tip=AZ264,hektari&gt;=BA264,hektari&lt;=BB264,TRUE)</f>
        <v>0</v>
      </c>
      <c r="BD264" s="223">
        <v>150</v>
      </c>
    </row>
    <row r="265" spans="52:57" x14ac:dyDescent="0.2">
      <c r="AZ265" s="222">
        <v>611</v>
      </c>
      <c r="BA265" s="223">
        <v>100.01</v>
      </c>
      <c r="BB265" s="223">
        <v>300</v>
      </c>
      <c r="BC265" s="223" t="b">
        <f ca="1">+AND(tip=AZ265,hektari&gt;=BA265,hektari&lt;=BB265,TRUE)</f>
        <v>0</v>
      </c>
      <c r="BD265" s="223">
        <v>200</v>
      </c>
    </row>
    <row r="266" spans="52:57" x14ac:dyDescent="0.2">
      <c r="AZ266" s="222">
        <v>611</v>
      </c>
      <c r="BA266" s="223">
        <v>300.01</v>
      </c>
      <c r="BB266" s="223">
        <v>500</v>
      </c>
      <c r="BC266" s="223" t="b">
        <f ca="1">+AND(tip=AZ266,hektari&gt;=BA266,hektari&lt;=BB266,TRUE)</f>
        <v>0</v>
      </c>
      <c r="BD266" s="223">
        <v>250</v>
      </c>
    </row>
    <row r="267" spans="52:57" x14ac:dyDescent="0.2">
      <c r="AZ267" s="222">
        <v>611</v>
      </c>
      <c r="BA267" s="223">
        <v>500.01</v>
      </c>
      <c r="BB267" s="223"/>
      <c r="BC267" s="223" t="b">
        <f ca="1">+AND(tip=AZ267,hektari&gt;=BA267,TRUE)</f>
        <v>0</v>
      </c>
      <c r="BD267" s="223">
        <v>300</v>
      </c>
    </row>
    <row r="268" spans="52:57" x14ac:dyDescent="0.2">
      <c r="AZ268" s="222">
        <v>612</v>
      </c>
      <c r="BA268" s="223">
        <v>0</v>
      </c>
      <c r="BB268" s="223">
        <v>10</v>
      </c>
      <c r="BC268" s="223" t="b">
        <f ca="1">+AND(tip=AZ268,hektari&gt;=BA268,hektari&lt;=BB268,TRUE)</f>
        <v>0</v>
      </c>
      <c r="BD268" s="223">
        <v>70</v>
      </c>
    </row>
    <row r="269" spans="52:57" x14ac:dyDescent="0.2">
      <c r="AZ269" s="222">
        <v>612</v>
      </c>
      <c r="BA269" s="223">
        <v>10.01</v>
      </c>
      <c r="BB269" s="223">
        <v>50</v>
      </c>
      <c r="BC269" s="223" t="b">
        <f ca="1">+AND(tip=AZ269,hektari&gt;=BA269,hektari&lt;=BB269,TRUE)</f>
        <v>0</v>
      </c>
      <c r="BD269" s="223">
        <v>110</v>
      </c>
    </row>
    <row r="270" spans="52:57" x14ac:dyDescent="0.2">
      <c r="AZ270" s="222">
        <v>612</v>
      </c>
      <c r="BA270" s="223">
        <v>50.01</v>
      </c>
      <c r="BB270" s="223">
        <v>100</v>
      </c>
      <c r="BC270" s="223" t="b">
        <f ca="1">+AND(tip=AZ270,hektari&gt;=BA270,hektari&lt;=BB270,TRUE)</f>
        <v>0</v>
      </c>
      <c r="BD270" s="223">
        <v>150</v>
      </c>
    </row>
    <row r="271" spans="52:57" x14ac:dyDescent="0.2">
      <c r="AZ271" s="222">
        <v>612</v>
      </c>
      <c r="BA271" s="223">
        <v>100.01</v>
      </c>
      <c r="BB271" s="223">
        <v>300</v>
      </c>
      <c r="BC271" s="223" t="b">
        <f ca="1">+AND(tip=AZ271,hektari&gt;=BA271,hektari&lt;=BB271,TRUE)</f>
        <v>0</v>
      </c>
      <c r="BD271" s="223">
        <v>200</v>
      </c>
    </row>
    <row r="272" spans="52:57" x14ac:dyDescent="0.2">
      <c r="AZ272" s="222">
        <v>612</v>
      </c>
      <c r="BA272" s="223">
        <v>300.01</v>
      </c>
      <c r="BB272" s="223">
        <v>500</v>
      </c>
      <c r="BC272" s="223" t="b">
        <f ca="1">+AND(tip=AZ272,hektari&gt;=BA272,hektari&lt;=BB272,TRUE)</f>
        <v>0</v>
      </c>
      <c r="BD272" s="223">
        <v>250</v>
      </c>
    </row>
    <row r="273" spans="52:56" x14ac:dyDescent="0.2">
      <c r="AZ273" s="222">
        <v>612</v>
      </c>
      <c r="BA273" s="223">
        <v>500.01</v>
      </c>
      <c r="BB273" s="223"/>
      <c r="BC273" s="223" t="b">
        <f ca="1">+AND(tip=AZ273,hektari&gt;=BA273,TRUE)</f>
        <v>0</v>
      </c>
      <c r="BD273" s="223">
        <v>300</v>
      </c>
    </row>
    <row r="274" spans="52:56" x14ac:dyDescent="0.2">
      <c r="AZ274" s="222">
        <v>613</v>
      </c>
      <c r="BA274" s="223">
        <v>0</v>
      </c>
      <c r="BB274" s="223">
        <v>10</v>
      </c>
      <c r="BC274" s="223" t="b">
        <f ca="1">+AND(tip=AZ274,hektari&gt;=BA274,hektari&lt;=BB274,TRUE)</f>
        <v>0</v>
      </c>
      <c r="BD274" s="223">
        <v>70</v>
      </c>
    </row>
    <row r="275" spans="52:56" x14ac:dyDescent="0.2">
      <c r="AZ275" s="222">
        <v>613</v>
      </c>
      <c r="BA275" s="223">
        <v>10.01</v>
      </c>
      <c r="BB275" s="223">
        <v>50</v>
      </c>
      <c r="BC275" s="223" t="b">
        <f ca="1">+AND(tip=AZ275,hektari&gt;=BA275,hektari&lt;=BB275,TRUE)</f>
        <v>0</v>
      </c>
      <c r="BD275" s="223">
        <v>110</v>
      </c>
    </row>
    <row r="276" spans="52:56" x14ac:dyDescent="0.2">
      <c r="AZ276" s="222">
        <v>613</v>
      </c>
      <c r="BA276" s="223">
        <v>50.01</v>
      </c>
      <c r="BB276" s="223">
        <v>100</v>
      </c>
      <c r="BC276" s="223" t="b">
        <f ca="1">+AND(tip=AZ276,hektari&gt;=BA276,hektari&lt;=BB276,TRUE)</f>
        <v>0</v>
      </c>
      <c r="BD276" s="223">
        <v>150</v>
      </c>
    </row>
    <row r="277" spans="52:56" x14ac:dyDescent="0.2">
      <c r="AZ277" s="222">
        <v>613</v>
      </c>
      <c r="BA277" s="223">
        <v>100.01</v>
      </c>
      <c r="BB277" s="223">
        <v>300</v>
      </c>
      <c r="BC277" s="223" t="b">
        <f ca="1">+AND(tip=AZ277,hektari&gt;=BA277,hektari&lt;=BB277,TRUE)</f>
        <v>0</v>
      </c>
      <c r="BD277" s="223">
        <v>200</v>
      </c>
    </row>
    <row r="278" spans="52:56" x14ac:dyDescent="0.2">
      <c r="AZ278" s="222">
        <v>613</v>
      </c>
      <c r="BA278" s="223">
        <v>300.01</v>
      </c>
      <c r="BB278" s="223">
        <v>500</v>
      </c>
      <c r="BC278" s="223" t="b">
        <f ca="1">+AND(tip=AZ278,hektari&gt;=BA278,hektari&lt;=BB278,TRUE)</f>
        <v>0</v>
      </c>
      <c r="BD278" s="223">
        <v>250</v>
      </c>
    </row>
    <row r="279" spans="52:56" x14ac:dyDescent="0.2">
      <c r="AZ279" s="222">
        <v>613</v>
      </c>
      <c r="BA279" s="223">
        <v>500.01</v>
      </c>
      <c r="BB279" s="223"/>
      <c r="BC279" s="223" t="b">
        <f ca="1">+AND(tip=AZ279,hektari&gt;=BA279,TRUE)</f>
        <v>0</v>
      </c>
      <c r="BD279" s="223">
        <v>300</v>
      </c>
    </row>
    <row r="280" spans="52:56" x14ac:dyDescent="0.2">
      <c r="AZ280" s="222">
        <v>614</v>
      </c>
      <c r="BA280" s="223">
        <v>0</v>
      </c>
      <c r="BB280" s="223">
        <v>10</v>
      </c>
      <c r="BC280" s="223" t="b">
        <f ca="1">+AND(tip=AZ280,hektari&gt;=BA280,hektari&lt;=BB280,TRUE)</f>
        <v>0</v>
      </c>
      <c r="BD280" s="223">
        <v>70</v>
      </c>
    </row>
    <row r="281" spans="52:56" x14ac:dyDescent="0.2">
      <c r="AZ281" s="222">
        <v>614</v>
      </c>
      <c r="BA281" s="223">
        <v>10.01</v>
      </c>
      <c r="BB281" s="223">
        <v>50</v>
      </c>
      <c r="BC281" s="223" t="b">
        <f ca="1">+AND(tip=AZ281,hektari&gt;=BA281,hektari&lt;=BB281,TRUE)</f>
        <v>0</v>
      </c>
      <c r="BD281" s="223">
        <v>110</v>
      </c>
    </row>
    <row r="282" spans="52:56" x14ac:dyDescent="0.2">
      <c r="AZ282" s="222">
        <v>614</v>
      </c>
      <c r="BA282" s="223">
        <v>50.01</v>
      </c>
      <c r="BB282" s="223">
        <v>100</v>
      </c>
      <c r="BC282" s="223" t="b">
        <f ca="1">+AND(tip=AZ282,hektari&gt;=BA282,hektari&lt;=BB282,TRUE)</f>
        <v>0</v>
      </c>
      <c r="BD282" s="223">
        <v>150</v>
      </c>
    </row>
    <row r="283" spans="52:56" x14ac:dyDescent="0.2">
      <c r="AZ283" s="222">
        <v>614</v>
      </c>
      <c r="BA283" s="223">
        <v>100.01</v>
      </c>
      <c r="BB283" s="223">
        <v>300</v>
      </c>
      <c r="BC283" s="223" t="b">
        <f ca="1">+AND(tip=AZ283,hektari&gt;=BA283,hektari&lt;=BB283,TRUE)</f>
        <v>0</v>
      </c>
      <c r="BD283" s="223">
        <v>200</v>
      </c>
    </row>
    <row r="284" spans="52:56" x14ac:dyDescent="0.2">
      <c r="AZ284" s="222">
        <v>614</v>
      </c>
      <c r="BA284" s="223">
        <v>300.01</v>
      </c>
      <c r="BB284" s="223">
        <v>500</v>
      </c>
      <c r="BC284" s="223" t="b">
        <f ca="1">+AND(tip=AZ284,hektari&gt;=BA284,hektari&lt;=BB284,TRUE)</f>
        <v>0</v>
      </c>
      <c r="BD284" s="223">
        <v>250</v>
      </c>
    </row>
    <row r="285" spans="52:56" x14ac:dyDescent="0.2">
      <c r="AZ285" s="222">
        <v>614</v>
      </c>
      <c r="BA285" s="223">
        <v>500.01</v>
      </c>
      <c r="BB285" s="223"/>
      <c r="BC285" s="223" t="b">
        <f ca="1">+AND(tip=AZ285,hektari&gt;=BA285,TRUE)</f>
        <v>0</v>
      </c>
      <c r="BD285" s="223">
        <v>300</v>
      </c>
    </row>
    <row r="286" spans="52:56" x14ac:dyDescent="0.2">
      <c r="AZ286" s="222">
        <v>615</v>
      </c>
      <c r="BA286" s="223">
        <v>0</v>
      </c>
      <c r="BB286" s="223">
        <v>10</v>
      </c>
      <c r="BC286" s="223" t="b">
        <f ca="1">+AND(tip=AZ286,hektari&gt;=BA286,hektari&lt;=BB286,TRUE)</f>
        <v>0</v>
      </c>
      <c r="BD286" s="223">
        <v>70</v>
      </c>
    </row>
    <row r="287" spans="52:56" x14ac:dyDescent="0.2">
      <c r="AZ287" s="222">
        <v>615</v>
      </c>
      <c r="BA287" s="223">
        <v>10.01</v>
      </c>
      <c r="BB287" s="223">
        <v>50</v>
      </c>
      <c r="BC287" s="223" t="b">
        <f ca="1">+AND(tip=AZ287,hektari&gt;=BA287,hektari&lt;=BB287,TRUE)</f>
        <v>0</v>
      </c>
      <c r="BD287" s="223">
        <v>110</v>
      </c>
    </row>
    <row r="288" spans="52:56" x14ac:dyDescent="0.2">
      <c r="AZ288" s="222">
        <v>615</v>
      </c>
      <c r="BA288" s="223">
        <v>50.01</v>
      </c>
      <c r="BB288" s="223">
        <v>100</v>
      </c>
      <c r="BC288" s="223" t="b">
        <f ca="1">+AND(tip=AZ288,hektari&gt;=BA288,hektari&lt;=BB288,TRUE)</f>
        <v>0</v>
      </c>
      <c r="BD288" s="223">
        <v>150</v>
      </c>
    </row>
    <row r="289" spans="52:57" x14ac:dyDescent="0.2">
      <c r="AZ289" s="222">
        <v>615</v>
      </c>
      <c r="BA289" s="223">
        <v>100.01</v>
      </c>
      <c r="BB289" s="223">
        <v>300</v>
      </c>
      <c r="BC289" s="223" t="b">
        <f ca="1">+AND(tip=AZ289,hektari&gt;=BA289,hektari&lt;=BB289,TRUE)</f>
        <v>0</v>
      </c>
      <c r="BD289" s="223">
        <v>200</v>
      </c>
    </row>
    <row r="290" spans="52:57" x14ac:dyDescent="0.2">
      <c r="AZ290" s="222">
        <v>615</v>
      </c>
      <c r="BA290" s="223">
        <v>300.01</v>
      </c>
      <c r="BB290" s="223">
        <v>500</v>
      </c>
      <c r="BC290" s="223" t="b">
        <f ca="1">+AND(tip=AZ290,hektari&gt;=BA290,hektari&lt;=BB290,TRUE)</f>
        <v>0</v>
      </c>
      <c r="BD290" s="223">
        <v>250</v>
      </c>
    </row>
    <row r="291" spans="52:57" x14ac:dyDescent="0.2">
      <c r="AZ291" s="222">
        <v>615</v>
      </c>
      <c r="BA291" s="223">
        <v>500.01</v>
      </c>
      <c r="BB291" s="223"/>
      <c r="BC291" s="223" t="b">
        <f ca="1">+AND(tip=AZ291,hektari&gt;=BA291,TRUE)</f>
        <v>0</v>
      </c>
      <c r="BD291" s="223">
        <v>300</v>
      </c>
    </row>
    <row r="292" spans="52:57" x14ac:dyDescent="0.2">
      <c r="AZ292" s="222">
        <v>616</v>
      </c>
      <c r="BA292" s="223">
        <v>0</v>
      </c>
      <c r="BB292" s="223">
        <v>10</v>
      </c>
      <c r="BC292" s="223" t="b">
        <f ca="1">+AND(tip=AZ292,hektari&gt;=BA292,hektari&lt;=BB292,TRUE)</f>
        <v>0</v>
      </c>
      <c r="BD292" s="223">
        <v>70</v>
      </c>
    </row>
    <row r="293" spans="52:57" x14ac:dyDescent="0.2">
      <c r="AZ293" s="222">
        <v>616</v>
      </c>
      <c r="BA293" s="223">
        <v>10.01</v>
      </c>
      <c r="BB293" s="223">
        <v>50</v>
      </c>
      <c r="BC293" s="223" t="b">
        <f ca="1">+AND(tip=AZ293,hektari&gt;=BA293,hektari&lt;=BB293,TRUE)</f>
        <v>0</v>
      </c>
      <c r="BD293" s="223">
        <v>110</v>
      </c>
    </row>
    <row r="294" spans="52:57" x14ac:dyDescent="0.2">
      <c r="AZ294" s="222">
        <v>616</v>
      </c>
      <c r="BA294" s="223">
        <v>50.01</v>
      </c>
      <c r="BB294" s="223">
        <v>100</v>
      </c>
      <c r="BC294" s="223" t="b">
        <f ca="1">+AND(tip=AZ294,hektari&gt;=BA294,hektari&lt;=BB294,TRUE)</f>
        <v>0</v>
      </c>
      <c r="BD294" s="223">
        <v>150</v>
      </c>
    </row>
    <row r="295" spans="52:57" x14ac:dyDescent="0.2">
      <c r="AZ295" s="222">
        <v>616</v>
      </c>
      <c r="BA295" s="223">
        <v>100.01</v>
      </c>
      <c r="BB295" s="223">
        <v>300</v>
      </c>
      <c r="BC295" s="223" t="b">
        <f ca="1">+AND(tip=AZ295,hektari&gt;=BA295,hektari&lt;=BB295,TRUE)</f>
        <v>0</v>
      </c>
      <c r="BD295" s="223">
        <v>200</v>
      </c>
    </row>
    <row r="296" spans="52:57" x14ac:dyDescent="0.2">
      <c r="AZ296" s="222">
        <v>616</v>
      </c>
      <c r="BA296" s="223">
        <v>300.01</v>
      </c>
      <c r="BB296" s="223">
        <v>500</v>
      </c>
      <c r="BC296" s="223" t="b">
        <f ca="1">+AND(tip=AZ296,hektari&gt;=BA296,hektari&lt;=BB296,TRUE)</f>
        <v>0</v>
      </c>
      <c r="BD296" s="223">
        <v>250</v>
      </c>
    </row>
    <row r="297" spans="52:57" x14ac:dyDescent="0.2">
      <c r="AZ297" s="222">
        <v>616</v>
      </c>
      <c r="BA297" s="223">
        <v>500.01</v>
      </c>
      <c r="BB297" s="223"/>
      <c r="BC297" s="223" t="b">
        <f ca="1">+AND(tip=AZ297,hektari&gt;=BA297,TRUE)</f>
        <v>0</v>
      </c>
      <c r="BD297" s="223">
        <v>300</v>
      </c>
    </row>
    <row r="298" spans="52:57" x14ac:dyDescent="0.2">
      <c r="AZ298" s="222">
        <v>843</v>
      </c>
      <c r="BA298" s="223"/>
      <c r="BB298" s="223"/>
      <c r="BC298" s="223" t="b">
        <f ca="1">+AND(tip=AZ298,pcele&gt;=0,TRUE)</f>
        <v>0</v>
      </c>
      <c r="BD298" s="223">
        <v>70</v>
      </c>
      <c r="BE298" s="3" t="s">
        <v>714</v>
      </c>
    </row>
  </sheetData>
  <sheetProtection password="98F8" sheet="1" objects="1" scenarios="1" selectLockedCells="1"/>
  <mergeCells count="19">
    <mergeCell ref="U35:U36"/>
    <mergeCell ref="O2:V2"/>
    <mergeCell ref="V60:Y61"/>
    <mergeCell ref="V63:Y64"/>
    <mergeCell ref="V41:W42"/>
    <mergeCell ref="V46:W47"/>
    <mergeCell ref="U40:U42"/>
    <mergeCell ref="V49:W50"/>
    <mergeCell ref="V52:W53"/>
    <mergeCell ref="V55:W56"/>
    <mergeCell ref="W3:Y7"/>
    <mergeCell ref="H3:M3"/>
    <mergeCell ref="B4:C5"/>
    <mergeCell ref="H7:J7"/>
    <mergeCell ref="P3:U3"/>
    <mergeCell ref="P4:U4"/>
    <mergeCell ref="P5:U5"/>
    <mergeCell ref="P6:U6"/>
    <mergeCell ref="P7:U7"/>
  </mergeCells>
  <phoneticPr fontId="0" type="noConversion"/>
  <dataValidations count="3">
    <dataValidation type="list" showInputMessage="1" showErrorMessage="1" sqref="A1">
      <formula1>$AC$86:$AC$88</formula1>
    </dataValidation>
    <dataValidation allowBlank="1" showInputMessage="1" sqref="B4"/>
    <dataValidation type="list" showErrorMessage="1" errorTitle="Upozorenje" error="Odaberite odgovarajuću regiju_x000a__x000a_1 - kontinentalna Hrvatska_x000a_2 - jadranska Hrvatska" sqref="C2">
      <formula1>$AC$81:$AC$83</formula1>
    </dataValidation>
  </dataValidations>
  <printOptions horizontalCentered="1"/>
  <pageMargins left="0.49" right="0.39370078740157483" top="0.51" bottom="0.51" header="0.51181102362204722" footer="0.51181102362204722"/>
  <pageSetup paperSize="9" scale="55" orientation="landscape" horizontalDpi="300" verticalDpi="300" r:id="rId1"/>
  <headerFooter alignWithMargins="0"/>
  <ignoredErrors>
    <ignoredError sqref="W57" evalError="1"/>
    <ignoredError sqref="O45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Line="0" autoPict="0" macro="[0]!Efface" altText="Obriši">
                <anchor>
                  <from>
                    <xdr:col>1</xdr:col>
                    <xdr:colOff>323850</xdr:colOff>
                    <xdr:row>6</xdr:row>
                    <xdr:rowOff>28575</xdr:rowOff>
                  </from>
                  <to>
                    <xdr:col>2</xdr:col>
                    <xdr:colOff>866775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D26"/>
  <sheetViews>
    <sheetView showGridLines="0" showRuler="0" view="pageLayout" topLeftCell="A9" zoomScaleNormal="85" zoomScaleSheetLayoutView="85" workbookViewId="0">
      <selection activeCell="C23" sqref="C23"/>
    </sheetView>
  </sheetViews>
  <sheetFormatPr defaultColWidth="9" defaultRowHeight="12.75" x14ac:dyDescent="0.2"/>
  <cols>
    <col min="1" max="1" width="30.7109375" style="136" customWidth="1"/>
    <col min="2" max="2" width="1.42578125" style="136" customWidth="1"/>
    <col min="3" max="3" width="33.28515625" style="136" customWidth="1"/>
    <col min="4" max="4" width="35.140625" style="136" customWidth="1"/>
    <col min="5" max="16384" width="9" style="136"/>
  </cols>
  <sheetData>
    <row r="2" spans="1:4" x14ac:dyDescent="0.2">
      <c r="C2" s="157"/>
    </row>
    <row r="4" spans="1:4" ht="30" customHeight="1" x14ac:dyDescent="0.2"/>
    <row r="5" spans="1:4" ht="25.5" x14ac:dyDescent="0.2">
      <c r="D5" s="137" t="s">
        <v>663</v>
      </c>
    </row>
    <row r="6" spans="1:4" ht="15.75" x14ac:dyDescent="0.2">
      <c r="D6" s="138" t="s">
        <v>664</v>
      </c>
    </row>
    <row r="7" spans="1:4" ht="15.75" customHeight="1" x14ac:dyDescent="0.2">
      <c r="A7" s="139"/>
    </row>
    <row r="8" spans="1:4" ht="27.75" customHeight="1" x14ac:dyDescent="0.2">
      <c r="A8" s="140" t="s">
        <v>665</v>
      </c>
    </row>
    <row r="9" spans="1:4" ht="24" customHeight="1" x14ac:dyDescent="0.2">
      <c r="A9" s="141" t="s">
        <v>666</v>
      </c>
      <c r="B9" s="142"/>
      <c r="C9" s="346">
        <f>+KALKULATOR!P3</f>
        <v>0</v>
      </c>
      <c r="D9" s="346"/>
    </row>
    <row r="10" spans="1:4" ht="5.85" customHeight="1" x14ac:dyDescent="0.2">
      <c r="A10" s="143"/>
      <c r="B10" s="144"/>
      <c r="C10" s="145"/>
      <c r="D10" s="146"/>
    </row>
    <row r="11" spans="1:4" ht="24" customHeight="1" x14ac:dyDescent="0.2">
      <c r="A11" s="141" t="s">
        <v>521</v>
      </c>
      <c r="B11" s="142"/>
      <c r="C11" s="248">
        <f>+KALKULATOR!P4</f>
        <v>0</v>
      </c>
      <c r="D11" s="147"/>
    </row>
    <row r="12" spans="1:4" ht="5.85" customHeight="1" x14ac:dyDescent="0.2">
      <c r="A12" s="143"/>
      <c r="B12" s="144"/>
      <c r="C12" s="145"/>
      <c r="D12" s="146"/>
    </row>
    <row r="13" spans="1:4" ht="24" customHeight="1" x14ac:dyDescent="0.2">
      <c r="A13" s="141" t="s">
        <v>667</v>
      </c>
      <c r="B13" s="142"/>
      <c r="C13" s="347">
        <f>+KALKULATOR!P5</f>
        <v>0</v>
      </c>
      <c r="D13" s="347"/>
    </row>
    <row r="14" spans="1:4" ht="5.25" customHeight="1" x14ac:dyDescent="0.2">
      <c r="A14" s="143"/>
      <c r="B14" s="144"/>
      <c r="C14" s="145"/>
      <c r="D14" s="146"/>
    </row>
    <row r="15" spans="1:4" ht="24" customHeight="1" x14ac:dyDescent="0.2">
      <c r="A15" s="141" t="s">
        <v>668</v>
      </c>
      <c r="B15" s="142"/>
      <c r="C15" s="248">
        <f>+KALKULATOR!P6</f>
        <v>0</v>
      </c>
      <c r="D15" s="147"/>
    </row>
    <row r="16" spans="1:4" ht="5.85" customHeight="1" x14ac:dyDescent="0.2">
      <c r="A16" s="143"/>
      <c r="B16" s="144"/>
      <c r="C16" s="145"/>
      <c r="D16" s="146"/>
    </row>
    <row r="17" spans="1:4" ht="24" customHeight="1" x14ac:dyDescent="0.2">
      <c r="A17" s="141" t="s">
        <v>669</v>
      </c>
      <c r="B17" s="142"/>
      <c r="C17" s="347">
        <f>+KALKULATOR!P7</f>
        <v>0</v>
      </c>
      <c r="D17" s="347"/>
    </row>
    <row r="18" spans="1:4" ht="25.5" customHeight="1" x14ac:dyDescent="0.2">
      <c r="A18" s="140" t="s">
        <v>663</v>
      </c>
    </row>
    <row r="19" spans="1:4" ht="138" customHeight="1" x14ac:dyDescent="0.2">
      <c r="A19" s="148" t="s">
        <v>670</v>
      </c>
      <c r="B19" s="149"/>
      <c r="C19" s="346" t="s">
        <v>671</v>
      </c>
      <c r="D19" s="346"/>
    </row>
    <row r="20" spans="1:4" x14ac:dyDescent="0.2">
      <c r="A20" s="150"/>
      <c r="B20" s="144"/>
      <c r="C20" s="348"/>
      <c r="D20" s="348"/>
    </row>
    <row r="21" spans="1:4" ht="33.950000000000003" customHeight="1" x14ac:dyDescent="0.2">
      <c r="A21" s="141" t="s">
        <v>672</v>
      </c>
      <c r="B21" s="151"/>
      <c r="C21" s="152"/>
      <c r="D21" s="153"/>
    </row>
    <row r="22" spans="1:4" ht="28.5" customHeight="1" x14ac:dyDescent="0.2">
      <c r="A22" s="139" t="s">
        <v>673</v>
      </c>
    </row>
    <row r="23" spans="1:4" ht="28.35" customHeight="1" x14ac:dyDescent="0.2">
      <c r="A23" s="141" t="s">
        <v>674</v>
      </c>
      <c r="B23" s="142"/>
      <c r="C23" s="249"/>
      <c r="D23" s="170"/>
    </row>
    <row r="24" spans="1:4" ht="8.25" customHeight="1" x14ac:dyDescent="0.2">
      <c r="A24" s="143"/>
      <c r="B24" s="144"/>
      <c r="C24" s="171"/>
      <c r="D24" s="171"/>
    </row>
    <row r="25" spans="1:4" ht="28.35" customHeight="1" x14ac:dyDescent="0.2">
      <c r="A25" s="141" t="s">
        <v>675</v>
      </c>
      <c r="B25" s="151"/>
      <c r="C25" s="250"/>
      <c r="D25" s="172"/>
    </row>
    <row r="26" spans="1:4" x14ac:dyDescent="0.2">
      <c r="D26" s="173"/>
    </row>
  </sheetData>
  <sheetProtection password="B7AA" sheet="1" objects="1" scenarios="1" selectLockedCells="1"/>
  <mergeCells count="5">
    <mergeCell ref="C9:D9"/>
    <mergeCell ref="C13:D13"/>
    <mergeCell ref="C17:D17"/>
    <mergeCell ref="C19:D19"/>
    <mergeCell ref="C20:D20"/>
  </mergeCells>
  <pageMargins left="0.25" right="0.25" top="0.75" bottom="0.75" header="0.3" footer="0.3"/>
  <pageSetup paperSize="9" orientation="portrait" r:id="rId1"/>
  <headerFooter scaleWithDoc="0" alignWithMargins="0">
    <oddHeader xml:space="preserve">&amp;L&amp;G&amp;R&amp;"Arial Narrow,Regular"&amp;9SAVJETODAVNA SLUŽBA
Savska cesta 41 10000 Zagreb ● HRVATSKA
Tel: 385 01 4882 700 ● Fax: 385 01 4882 701
savjetodavna@savjetodavna.hr ● www.savjetodavna.hr
OIB: 10041443114 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2:K43"/>
  <sheetViews>
    <sheetView showGridLines="0" showRuler="0" view="pageLayout" zoomScaleNormal="100" workbookViewId="0">
      <selection activeCell="C29" sqref="C29"/>
    </sheetView>
  </sheetViews>
  <sheetFormatPr defaultColWidth="5" defaultRowHeight="12.75" x14ac:dyDescent="0.2"/>
  <cols>
    <col min="1" max="1" width="30.7109375" style="136" customWidth="1"/>
    <col min="2" max="2" width="1" style="136" customWidth="1"/>
    <col min="3" max="3" width="30.85546875" style="136" customWidth="1"/>
    <col min="4" max="4" width="35.28515625" style="136" customWidth="1"/>
    <col min="5" max="5" width="5" style="136"/>
    <col min="6" max="6" width="7" style="136" customWidth="1"/>
    <col min="7" max="16384" width="5" style="136"/>
  </cols>
  <sheetData>
    <row r="2" spans="1:11" x14ac:dyDescent="0.2">
      <c r="C2" s="157"/>
    </row>
    <row r="5" spans="1:11" ht="25.5" x14ac:dyDescent="0.2">
      <c r="D5" s="137" t="s">
        <v>676</v>
      </c>
      <c r="E5" s="154"/>
      <c r="J5" s="183"/>
    </row>
    <row r="6" spans="1:11" ht="15.75" x14ac:dyDescent="0.2">
      <c r="D6" s="138" t="s">
        <v>768</v>
      </c>
      <c r="J6" s="183"/>
    </row>
    <row r="7" spans="1:11" ht="15.75" x14ac:dyDescent="0.2">
      <c r="D7" s="138"/>
      <c r="J7" s="183"/>
    </row>
    <row r="8" spans="1:11" ht="22.5" customHeight="1" x14ac:dyDescent="0.2">
      <c r="A8" s="140" t="s">
        <v>665</v>
      </c>
      <c r="K8" s="184"/>
    </row>
    <row r="9" spans="1:11" ht="22.5" customHeight="1" x14ac:dyDescent="0.2">
      <c r="A9" s="185" t="s">
        <v>666</v>
      </c>
      <c r="B9" s="142"/>
      <c r="C9" s="351">
        <f>+KALKULATOR!P3</f>
        <v>0</v>
      </c>
      <c r="D9" s="351"/>
      <c r="K9" s="184"/>
    </row>
    <row r="10" spans="1:11" ht="5.85" customHeight="1" x14ac:dyDescent="0.2">
      <c r="A10" s="141"/>
      <c r="B10" s="144"/>
      <c r="C10" s="186"/>
      <c r="D10" s="187"/>
      <c r="J10" s="188"/>
    </row>
    <row r="11" spans="1:11" ht="22.5" customHeight="1" x14ac:dyDescent="0.2">
      <c r="A11" s="141" t="s">
        <v>521</v>
      </c>
      <c r="B11" s="142"/>
      <c r="C11" s="245">
        <f>+KALKULATOR!P4</f>
        <v>0</v>
      </c>
      <c r="D11" s="189"/>
      <c r="K11" s="184"/>
    </row>
    <row r="12" spans="1:11" ht="5.85" customHeight="1" x14ac:dyDescent="0.2">
      <c r="A12" s="141"/>
      <c r="B12" s="144"/>
      <c r="C12" s="186"/>
      <c r="D12" s="187"/>
      <c r="K12" s="184"/>
    </row>
    <row r="13" spans="1:11" ht="22.5" customHeight="1" x14ac:dyDescent="0.2">
      <c r="A13" s="141" t="s">
        <v>667</v>
      </c>
      <c r="B13" s="142"/>
      <c r="C13" s="351">
        <f>+KALKULATOR!P5</f>
        <v>0</v>
      </c>
      <c r="D13" s="351"/>
      <c r="K13" s="184"/>
    </row>
    <row r="14" spans="1:11" ht="5.85" customHeight="1" x14ac:dyDescent="0.2">
      <c r="A14" s="141"/>
      <c r="B14" s="144"/>
      <c r="C14" s="186"/>
      <c r="D14" s="187"/>
      <c r="K14" s="184"/>
    </row>
    <row r="15" spans="1:11" ht="22.5" customHeight="1" x14ac:dyDescent="0.2">
      <c r="A15" s="141" t="s">
        <v>668</v>
      </c>
      <c r="B15" s="142"/>
      <c r="C15" s="245">
        <f>+KALKULATOR!P6</f>
        <v>0</v>
      </c>
      <c r="D15" s="189"/>
    </row>
    <row r="16" spans="1:11" ht="5.85" customHeight="1" x14ac:dyDescent="0.2">
      <c r="A16" s="141"/>
      <c r="B16" s="144"/>
      <c r="C16" s="186"/>
      <c r="D16" s="187"/>
    </row>
    <row r="17" spans="1:5" ht="22.5" customHeight="1" x14ac:dyDescent="0.2">
      <c r="A17" s="141" t="s">
        <v>669</v>
      </c>
      <c r="B17" s="142"/>
      <c r="C17" s="351">
        <f>KALKULATOR!P7</f>
        <v>0</v>
      </c>
      <c r="D17" s="351"/>
    </row>
    <row r="18" spans="1:5" ht="22.5" customHeight="1" x14ac:dyDescent="0.2">
      <c r="A18" s="140" t="s">
        <v>676</v>
      </c>
    </row>
    <row r="19" spans="1:5" s="190" customFormat="1" ht="84" customHeight="1" x14ac:dyDescent="0.2">
      <c r="A19" s="148" t="s">
        <v>677</v>
      </c>
      <c r="B19" s="142"/>
      <c r="C19" s="352" t="s">
        <v>771</v>
      </c>
      <c r="D19" s="352"/>
    </row>
    <row r="20" spans="1:5" ht="5.85" customHeight="1" x14ac:dyDescent="0.2">
      <c r="A20" s="141"/>
      <c r="B20" s="144"/>
      <c r="C20" s="187"/>
      <c r="D20" s="187"/>
    </row>
    <row r="21" spans="1:5" ht="22.5" customHeight="1" x14ac:dyDescent="0.2">
      <c r="A21" s="141" t="s">
        <v>678</v>
      </c>
      <c r="B21" s="142"/>
      <c r="C21" s="246" t="str">
        <f ca="1">+KALKULATOR!V60</f>
        <v xml:space="preserve"> </v>
      </c>
      <c r="D21" s="191" t="s">
        <v>624</v>
      </c>
    </row>
    <row r="22" spans="1:5" ht="5.85" customHeight="1" x14ac:dyDescent="0.2">
      <c r="A22" s="143"/>
      <c r="B22" s="144"/>
      <c r="C22" s="192"/>
      <c r="D22" s="193"/>
    </row>
    <row r="23" spans="1:5" ht="22.5" customHeight="1" x14ac:dyDescent="0.2">
      <c r="A23" s="194"/>
      <c r="B23" s="142"/>
      <c r="C23" s="246" t="str">
        <f ca="1">+KALKULATOR!V63</f>
        <v xml:space="preserve"> </v>
      </c>
      <c r="D23" s="191" t="s">
        <v>625</v>
      </c>
    </row>
    <row r="24" spans="1:5" ht="5.25" customHeight="1" x14ac:dyDescent="0.2">
      <c r="A24" s="194"/>
      <c r="B24" s="142"/>
      <c r="C24" s="179"/>
      <c r="D24" s="191"/>
    </row>
    <row r="25" spans="1:5" ht="22.5" customHeight="1" x14ac:dyDescent="0.2">
      <c r="A25" s="141" t="s">
        <v>700</v>
      </c>
      <c r="B25" s="142"/>
      <c r="C25" s="246" t="str">
        <f>+KALKULATOR!V55</f>
        <v xml:space="preserve"> </v>
      </c>
      <c r="D25" s="191" t="s">
        <v>701</v>
      </c>
    </row>
    <row r="26" spans="1:5" ht="5.85" customHeight="1" x14ac:dyDescent="0.2">
      <c r="A26" s="195"/>
      <c r="B26" s="144"/>
      <c r="C26" s="187"/>
      <c r="D26" s="187"/>
    </row>
    <row r="27" spans="1:5" ht="42.75" customHeight="1" x14ac:dyDescent="0.2">
      <c r="A27" s="143"/>
      <c r="B27" s="149"/>
      <c r="C27" s="353" t="s">
        <v>706</v>
      </c>
      <c r="D27" s="353"/>
    </row>
    <row r="28" spans="1:5" ht="22.5" customHeight="1" x14ac:dyDescent="0.2">
      <c r="A28" s="140" t="s">
        <v>679</v>
      </c>
      <c r="D28" s="154"/>
    </row>
    <row r="29" spans="1:5" ht="24" customHeight="1" x14ac:dyDescent="0.2">
      <c r="A29" s="185" t="s">
        <v>680</v>
      </c>
      <c r="B29" s="196"/>
      <c r="C29" s="247"/>
      <c r="D29" s="237" t="s">
        <v>718</v>
      </c>
      <c r="E29" s="173"/>
    </row>
    <row r="30" spans="1:5" ht="5.85" customHeight="1" x14ac:dyDescent="0.2">
      <c r="A30" s="197"/>
      <c r="B30" s="188"/>
      <c r="C30" s="198"/>
      <c r="D30" s="238" t="s">
        <v>719</v>
      </c>
      <c r="E30" s="173"/>
    </row>
    <row r="31" spans="1:5" ht="24" customHeight="1" x14ac:dyDescent="0.2">
      <c r="A31" s="185" t="s">
        <v>681</v>
      </c>
      <c r="B31" s="196"/>
      <c r="C31" s="247"/>
      <c r="D31" s="238" t="s">
        <v>720</v>
      </c>
      <c r="E31" s="173"/>
    </row>
    <row r="32" spans="1:5" ht="5.85" customHeight="1" x14ac:dyDescent="0.2">
      <c r="A32" s="185"/>
      <c r="B32" s="188"/>
      <c r="C32" s="171"/>
      <c r="D32" s="238" t="s">
        <v>721</v>
      </c>
      <c r="E32" s="173"/>
    </row>
    <row r="33" spans="1:8" ht="33.950000000000003" customHeight="1" x14ac:dyDescent="0.2">
      <c r="A33" s="185" t="s">
        <v>682</v>
      </c>
      <c r="B33" s="196"/>
      <c r="C33" s="199"/>
      <c r="D33" s="214" t="s">
        <v>722</v>
      </c>
      <c r="E33" s="173"/>
      <c r="H33" s="167"/>
    </row>
    <row r="34" spans="1:8" ht="24" customHeight="1" x14ac:dyDescent="0.2">
      <c r="A34" s="140" t="s">
        <v>673</v>
      </c>
      <c r="B34" s="173"/>
      <c r="C34" s="173"/>
      <c r="D34" s="215" t="s">
        <v>723</v>
      </c>
      <c r="E34" s="173"/>
    </row>
    <row r="35" spans="1:8" ht="5.85" customHeight="1" x14ac:dyDescent="0.2">
      <c r="A35" s="200"/>
      <c r="B35" s="201"/>
      <c r="C35" s="202"/>
      <c r="D35" s="216" t="s">
        <v>724</v>
      </c>
      <c r="E35" s="173"/>
    </row>
    <row r="36" spans="1:8" ht="24" customHeight="1" x14ac:dyDescent="0.2">
      <c r="A36" s="185" t="s">
        <v>674</v>
      </c>
      <c r="C36" s="245">
        <f>+IZJAVA!C23</f>
        <v>0</v>
      </c>
      <c r="D36" s="236" t="s">
        <v>733</v>
      </c>
    </row>
    <row r="37" spans="1:8" ht="5.85" customHeight="1" x14ac:dyDescent="0.2">
      <c r="A37" s="200"/>
      <c r="B37" s="203"/>
      <c r="C37" s="202"/>
      <c r="D37" s="236" t="s">
        <v>725</v>
      </c>
      <c r="E37" s="173"/>
    </row>
    <row r="38" spans="1:8" ht="24" customHeight="1" x14ac:dyDescent="0.2">
      <c r="A38" s="185" t="s">
        <v>675</v>
      </c>
      <c r="B38" s="172"/>
      <c r="C38" s="204">
        <f>IZJAVA!C25</f>
        <v>0</v>
      </c>
      <c r="D38" s="239" t="s">
        <v>726</v>
      </c>
      <c r="E38" s="173"/>
    </row>
    <row r="39" spans="1:8" ht="24" customHeight="1" x14ac:dyDescent="0.2">
      <c r="A39" s="140" t="s">
        <v>683</v>
      </c>
      <c r="B39" s="173"/>
      <c r="C39" s="205"/>
      <c r="D39" s="239" t="s">
        <v>734</v>
      </c>
      <c r="E39" s="173"/>
    </row>
    <row r="40" spans="1:8" ht="18.75" customHeight="1" x14ac:dyDescent="0.2">
      <c r="A40" s="349"/>
      <c r="B40" s="350"/>
      <c r="C40" s="217" t="s">
        <v>769</v>
      </c>
      <c r="D40" s="239" t="s">
        <v>735</v>
      </c>
    </row>
    <row r="41" spans="1:8" ht="6" customHeight="1" x14ac:dyDescent="0.2">
      <c r="A41" s="349"/>
      <c r="B41" s="350"/>
      <c r="C41" s="217"/>
      <c r="D41" s="240" t="s">
        <v>727</v>
      </c>
    </row>
    <row r="42" spans="1:8" ht="18.75" customHeight="1" x14ac:dyDescent="0.2">
      <c r="A42" s="349"/>
      <c r="B42" s="350"/>
      <c r="C42" s="218" t="s">
        <v>684</v>
      </c>
      <c r="D42" s="235"/>
    </row>
    <row r="43" spans="1:8" s="156" customFormat="1" ht="5.25" customHeight="1" x14ac:dyDescent="0.2"/>
  </sheetData>
  <sheetProtection sheet="1" objects="1" scenarios="1" selectLockedCells="1"/>
  <mergeCells count="7">
    <mergeCell ref="A40:A42"/>
    <mergeCell ref="B40:B42"/>
    <mergeCell ref="C9:D9"/>
    <mergeCell ref="C13:D13"/>
    <mergeCell ref="C17:D17"/>
    <mergeCell ref="C19:D19"/>
    <mergeCell ref="C27:D27"/>
  </mergeCells>
  <pageMargins left="0.25" right="0.25" top="0.75" bottom="0.75" header="0.3" footer="0.3"/>
  <pageSetup paperSize="9" scale="95" orientation="portrait" r:id="rId1"/>
  <headerFooter scaleWithDoc="0" alignWithMargins="0">
    <oddHeader xml:space="preserve">&amp;L       &amp;G&amp;R&amp;"Arial Narrow,Regular"&amp;9SAVJETODAVNA SLUŽBA
Savska cesta 41 10000 Zagreb ● HRVATSKA
Tel: 385 01 4882 700 ● Fax: 385 01 4882 701
savjetodavna@savjetodavna.hr ● www.savjetodavna.hr
OIB: 10041443114 </oddHeader>
    <oddFooter>&amp;L&amp;"Arial Narrow,Regular"&amp;9* Unosi se FADN oznaka službenika Savjetodavne službe</oddFooter>
  </headerFooter>
  <rowBreaks count="1" manualBreakCount="1">
    <brk id="43" max="10" man="1"/>
  </rowBreaks>
  <colBreaks count="1" manualBreakCount="1">
    <brk id="4" max="38" man="1"/>
  </col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5" name="Drop Down 1">
              <controlPr defaultSize="0" autoLine="0" autoPict="0">
                <anchor moveWithCells="1">
                  <from>
                    <xdr:col>2</xdr:col>
                    <xdr:colOff>685800</xdr:colOff>
                    <xdr:row>26</xdr:row>
                    <xdr:rowOff>257175</xdr:rowOff>
                  </from>
                  <to>
                    <xdr:col>3</xdr:col>
                    <xdr:colOff>2343150</xdr:colOff>
                    <xdr:row>26</xdr:row>
                    <xdr:rowOff>476250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K56"/>
  <sheetViews>
    <sheetView zoomScale="85" zoomScaleNormal="85" workbookViewId="0">
      <selection activeCell="B53" sqref="B53"/>
    </sheetView>
  </sheetViews>
  <sheetFormatPr defaultRowHeight="12.75" x14ac:dyDescent="0.2"/>
  <cols>
    <col min="1" max="1" width="9.140625" style="316"/>
    <col min="2" max="2" width="49.140625" style="316" bestFit="1" customWidth="1"/>
    <col min="3" max="3" width="10.140625" style="316" bestFit="1" customWidth="1"/>
    <col min="4" max="4" width="9.28515625" style="316" bestFit="1" customWidth="1"/>
    <col min="5" max="5" width="9.140625" style="316"/>
    <col min="6" max="6" width="48.5703125" style="316" bestFit="1" customWidth="1"/>
    <col min="7" max="8" width="9.28515625" style="316" bestFit="1" customWidth="1"/>
    <col min="9" max="16384" width="9.140625" style="316"/>
  </cols>
  <sheetData>
    <row r="1" spans="1:11" x14ac:dyDescent="0.2">
      <c r="A1" s="316" t="str">
        <f>IF(Langue="EN", "C",IF(Langue="HR","B","D"))</f>
        <v>B</v>
      </c>
      <c r="C1" s="317" t="str">
        <f ca="1">INDIRECT("CoefVeg!"&amp;$A$1&amp;"79")</f>
        <v>Regija</v>
      </c>
      <c r="D1" s="318"/>
      <c r="E1" s="318"/>
      <c r="F1" s="319"/>
      <c r="G1" s="320"/>
      <c r="H1" s="320"/>
      <c r="I1" s="318"/>
      <c r="J1" s="318"/>
      <c r="K1" s="318"/>
    </row>
    <row r="2" spans="1:11" ht="12.75" customHeight="1" x14ac:dyDescent="0.2">
      <c r="A2" s="316" t="str">
        <f>CHAR(69+Regija)</f>
        <v>F</v>
      </c>
      <c r="B2" s="321">
        <f>Regija</f>
        <v>1</v>
      </c>
      <c r="C2" s="316" t="str">
        <f ca="1">INDIRECT("CoefVeg!"&amp;$A$1&amp;ROW()+78+B2)</f>
        <v>Kontinentalna Hrvatska</v>
      </c>
      <c r="D2" s="318" t="s">
        <v>660</v>
      </c>
      <c r="E2" s="318"/>
      <c r="F2" s="318"/>
      <c r="I2" s="318"/>
      <c r="J2" s="318"/>
      <c r="K2" s="318"/>
    </row>
    <row r="4" spans="1:11" x14ac:dyDescent="0.2">
      <c r="B4" s="322" t="s">
        <v>499</v>
      </c>
      <c r="C4" s="316" t="s">
        <v>658</v>
      </c>
      <c r="F4" s="322" t="s">
        <v>508</v>
      </c>
      <c r="G4" s="316" t="s">
        <v>658</v>
      </c>
    </row>
    <row r="5" spans="1:11" x14ac:dyDescent="0.2">
      <c r="B5" s="316" t="str">
        <f>CoefVeg!B5</f>
        <v>Pšenica</v>
      </c>
      <c r="C5" s="316">
        <f ca="1">INDIRECT("CoefVeg!"&amp;$A$2&amp;D5)</f>
        <v>6335.8475070000004</v>
      </c>
      <c r="D5" s="323">
        <v>5</v>
      </c>
      <c r="F5" s="316" t="str">
        <f>CoefAni!B5</f>
        <v>Konji i magarci (osim ponija)</v>
      </c>
      <c r="G5" s="316">
        <f ca="1">INDIRECT("CoefAni!"&amp;$A$2&amp;H5)</f>
        <v>5287</v>
      </c>
      <c r="H5" s="323">
        <v>5</v>
      </c>
    </row>
    <row r="6" spans="1:11" x14ac:dyDescent="0.2">
      <c r="B6" s="316" t="str">
        <f>CoefVeg!B6</f>
        <v>Kukuruz u zrnu</v>
      </c>
      <c r="C6" s="316">
        <f t="shared" ref="C6:C54" ca="1" si="0">INDIRECT("CoefVeg!"&amp;$A$2&amp;D6)</f>
        <v>6914.117045</v>
      </c>
      <c r="D6" s="323">
        <v>6</v>
      </c>
      <c r="F6" s="316" t="str">
        <f>CoefAni!B6</f>
        <v>Telad &lt; 1 godine</v>
      </c>
      <c r="G6" s="316">
        <f t="shared" ref="G6:G24" ca="1" si="1">INDIRECT("CoefAni!"&amp;$A$2&amp;H6)</f>
        <v>9234.1198800000002</v>
      </c>
      <c r="H6" s="323">
        <v>6</v>
      </c>
    </row>
    <row r="7" spans="1:11" x14ac:dyDescent="0.2">
      <c r="B7" s="316" t="str">
        <f>CoefVeg!B7</f>
        <v>Ječam</v>
      </c>
      <c r="C7" s="316">
        <f t="shared" ca="1" si="0"/>
        <v>5316.3696360000004</v>
      </c>
      <c r="D7" s="323">
        <v>7</v>
      </c>
      <c r="F7" s="316" t="str">
        <f>CoefAni!B7</f>
        <v>Junad 1 - 2 godine</v>
      </c>
      <c r="G7" s="316">
        <f t="shared" ca="1" si="1"/>
        <v>7678.5980980000004</v>
      </c>
      <c r="H7" s="323">
        <v>7</v>
      </c>
    </row>
    <row r="8" spans="1:11" x14ac:dyDescent="0.2">
      <c r="B8" s="316" t="str">
        <f>CoefVeg!B8</f>
        <v>Zob</v>
      </c>
      <c r="C8" s="316">
        <f t="shared" ca="1" si="0"/>
        <v>3488.229092</v>
      </c>
      <c r="D8" s="323">
        <v>8</v>
      </c>
      <c r="F8" s="316" t="str">
        <f>CoefAni!B8</f>
        <v>Junice 1 - 2 godine</v>
      </c>
      <c r="G8" s="316">
        <f t="shared" ca="1" si="1"/>
        <v>5648.5367690000003</v>
      </c>
      <c r="H8" s="323">
        <v>8</v>
      </c>
    </row>
    <row r="9" spans="1:11" x14ac:dyDescent="0.2">
      <c r="B9" s="316" t="str">
        <f>CoefVeg!B9</f>
        <v>Raž</v>
      </c>
      <c r="C9" s="316">
        <f t="shared" ca="1" si="0"/>
        <v>3715.3125009999999</v>
      </c>
      <c r="D9" s="323">
        <v>9</v>
      </c>
      <c r="F9" s="316" t="str">
        <f>CoefAni!B9</f>
        <v>Junad &gt; 2 godine (uklj. bikove)</v>
      </c>
      <c r="G9" s="316">
        <f t="shared" ca="1" si="1"/>
        <v>8926.6661679999997</v>
      </c>
      <c r="H9" s="323">
        <v>9</v>
      </c>
    </row>
    <row r="10" spans="1:11" x14ac:dyDescent="0.2">
      <c r="B10" s="316" t="str">
        <f>CoefVeg!B10</f>
        <v>Ostale žitarice (pravi pir, tritikale, proso, sirak, heljda...)*</v>
      </c>
      <c r="C10" s="316">
        <f t="shared" ca="1" si="0"/>
        <v>4041.5578820000001</v>
      </c>
      <c r="D10" s="323">
        <v>10</v>
      </c>
      <c r="F10" s="316" t="str">
        <f>CoefAni!B10</f>
        <v>Junice &gt; 2 godine</v>
      </c>
      <c r="G10" s="316">
        <f t="shared" ca="1" si="1"/>
        <v>5752.5312839999997</v>
      </c>
      <c r="H10" s="323">
        <v>10</v>
      </c>
    </row>
    <row r="11" spans="1:11" x14ac:dyDescent="0.2">
      <c r="B11" s="316" t="str">
        <f>CoefVeg!B11</f>
        <v>Šećerna repa</v>
      </c>
      <c r="C11" s="316">
        <f t="shared" ca="1" si="0"/>
        <v>13239.881149999999</v>
      </c>
      <c r="D11" s="323">
        <v>11</v>
      </c>
      <c r="F11" s="316" t="str">
        <f>CoefAni!B11</f>
        <v>Mliječne krave</v>
      </c>
      <c r="G11" s="316">
        <f t="shared" ca="1" si="1"/>
        <v>16694.745780000001</v>
      </c>
      <c r="H11" s="323">
        <v>11</v>
      </c>
    </row>
    <row r="12" spans="1:11" x14ac:dyDescent="0.2">
      <c r="B12" s="316" t="str">
        <f>CoefVeg!B12</f>
        <v>Duhan</v>
      </c>
      <c r="C12" s="316">
        <f t="shared" ca="1" si="0"/>
        <v>16383.55934</v>
      </c>
      <c r="D12" s="323">
        <v>12</v>
      </c>
      <c r="F12" s="316" t="str">
        <f>CoefAni!B12</f>
        <v>Ostala goveda (krave u sustavu krava - tele, radne krave)</v>
      </c>
      <c r="G12" s="316">
        <f t="shared" ca="1" si="1"/>
        <v>6420.0634879999998</v>
      </c>
      <c r="H12" s="323">
        <v>12</v>
      </c>
    </row>
    <row r="13" spans="1:11" x14ac:dyDescent="0.2">
      <c r="B13" s="316" t="str">
        <f>CoefVeg!B13</f>
        <v>Krumpir</v>
      </c>
      <c r="C13" s="316">
        <f t="shared" ca="1" si="0"/>
        <v>25089.69256</v>
      </c>
      <c r="D13" s="323">
        <v>13</v>
      </c>
      <c r="F13" s="316" t="str">
        <f>CoefAni!B13</f>
        <v>Rasplodne ovce</v>
      </c>
      <c r="G13" s="316">
        <f t="shared" ca="1" si="1"/>
        <v>1087</v>
      </c>
      <c r="H13" s="323">
        <v>13</v>
      </c>
    </row>
    <row r="14" spans="1:11" x14ac:dyDescent="0.2">
      <c r="B14" s="316" t="str">
        <f>CoefVeg!B14</f>
        <v>Uljana repica</v>
      </c>
      <c r="C14" s="316">
        <f t="shared" ca="1" si="0"/>
        <v>7576.0914480000001</v>
      </c>
      <c r="D14" s="323">
        <v>14</v>
      </c>
      <c r="F14" s="316" t="str">
        <f>CoefAni!B14</f>
        <v>Ostale ovce (uklj. janjad i rasplodne mužjake)</v>
      </c>
      <c r="G14" s="316">
        <f t="shared" ca="1" si="1"/>
        <v>1087</v>
      </c>
      <c r="H14" s="323">
        <v>14</v>
      </c>
    </row>
    <row r="15" spans="1:11" x14ac:dyDescent="0.2">
      <c r="B15" s="316" t="str">
        <f>CoefVeg!B15</f>
        <v>Suncokret</v>
      </c>
      <c r="C15" s="316">
        <f t="shared" ca="1" si="0"/>
        <v>6835.0909300000003</v>
      </c>
      <c r="D15" s="323">
        <v>15</v>
      </c>
      <c r="F15" s="316" t="str">
        <f>CoefAni!B15</f>
        <v>Rasplodne koze</v>
      </c>
      <c r="G15" s="316">
        <f t="shared" ca="1" si="1"/>
        <v>2118</v>
      </c>
      <c r="H15" s="323">
        <v>15</v>
      </c>
    </row>
    <row r="16" spans="1:11" x14ac:dyDescent="0.2">
      <c r="B16" s="316" t="str">
        <f>CoefVeg!B16</f>
        <v>Soja</v>
      </c>
      <c r="C16" s="316">
        <f t="shared" ca="1" si="0"/>
        <v>6280.819904</v>
      </c>
      <c r="D16" s="323">
        <v>16</v>
      </c>
      <c r="F16" s="316" t="str">
        <f>CoefAni!B16</f>
        <v>Ostale koze (uklj. jariće i rasplodne mužjake)</v>
      </c>
      <c r="G16" s="316">
        <f t="shared" ca="1" si="1"/>
        <v>2118</v>
      </c>
      <c r="H16" s="323">
        <v>16</v>
      </c>
    </row>
    <row r="17" spans="2:8" x14ac:dyDescent="0.2">
      <c r="B17" s="316" t="str">
        <f>CoefVeg!B17</f>
        <v>Ostale uljarice (ricinus, sezam, gorčica, mak, uljne tikve...)*</v>
      </c>
      <c r="C17" s="316">
        <f t="shared" ca="1" si="0"/>
        <v>7003.9763199999998</v>
      </c>
      <c r="D17" s="323">
        <v>17</v>
      </c>
      <c r="F17" s="316" t="str">
        <f>CoefAni!B17</f>
        <v>Prasad (do 20 kg)</v>
      </c>
      <c r="G17" s="316">
        <f t="shared" ca="1" si="1"/>
        <v>361</v>
      </c>
      <c r="H17" s="323">
        <v>17</v>
      </c>
    </row>
    <row r="18" spans="2:8" x14ac:dyDescent="0.2">
      <c r="B18" s="316" t="str">
        <f>CoefVeg!B18</f>
        <v>Ljekovito, začinsko i aromatično bilje</v>
      </c>
      <c r="C18" s="316">
        <f t="shared" ca="1" si="0"/>
        <v>11287.422759999999</v>
      </c>
      <c r="D18" s="323">
        <v>18</v>
      </c>
      <c r="F18" s="316" t="str">
        <f>CoefAni!B18</f>
        <v>Rasplodne krmače (teže od 50 kg)</v>
      </c>
      <c r="G18" s="316">
        <f t="shared" ca="1" si="1"/>
        <v>1659</v>
      </c>
      <c r="H18" s="323">
        <v>18</v>
      </c>
    </row>
    <row r="19" spans="2:8" x14ac:dyDescent="0.2">
      <c r="B19" s="316" t="str">
        <f>CoefVeg!B19</f>
        <v>Ostalo industrijsko bilje *</v>
      </c>
      <c r="C19" s="316">
        <f t="shared" ca="1" si="0"/>
        <v>2627.2917470000002</v>
      </c>
      <c r="D19" s="323">
        <v>19</v>
      </c>
      <c r="F19" s="316" t="str">
        <f>CoefAni!B19</f>
        <v>Svinje za tov (teže od 20 kg)</v>
      </c>
      <c r="G19" s="316">
        <f t="shared" ca="1" si="1"/>
        <v>0</v>
      </c>
      <c r="H19" s="323">
        <v>19</v>
      </c>
    </row>
    <row r="20" spans="2:8" x14ac:dyDescent="0.2">
      <c r="B20" s="316" t="str">
        <f>CoefVeg!B20</f>
        <v>Stočni grašak, grah i ostale mahunarke</v>
      </c>
      <c r="C20" s="316">
        <f t="shared" ca="1" si="0"/>
        <v>12362.03069</v>
      </c>
      <c r="D20" s="323">
        <v>20</v>
      </c>
      <c r="F20" s="316" t="str">
        <f>CoefAni!B20</f>
        <v>Ostale svinje (za tov)</v>
      </c>
      <c r="G20" s="316">
        <f t="shared" ca="1" si="1"/>
        <v>2329.2935389999998</v>
      </c>
      <c r="H20" s="323">
        <v>20</v>
      </c>
    </row>
    <row r="21" spans="2:8" x14ac:dyDescent="0.2">
      <c r="B21" s="316" t="str">
        <f>CoefVeg!B21</f>
        <v>Lucerna i djetelina</v>
      </c>
      <c r="C21" s="316">
        <f t="shared" ca="1" si="0"/>
        <v>4942.2004040000002</v>
      </c>
      <c r="D21" s="323">
        <v>21</v>
      </c>
      <c r="F21" s="316" t="str">
        <f>CoefAni!B21</f>
        <v>Pilići u tovu (brojleri)</v>
      </c>
      <c r="G21" s="316">
        <f t="shared" ca="1" si="1"/>
        <v>3346</v>
      </c>
      <c r="H21" s="323">
        <v>21</v>
      </c>
    </row>
    <row r="22" spans="2:8" x14ac:dyDescent="0.2">
      <c r="B22" s="316" t="str">
        <f>CoefVeg!B22</f>
        <v>Kukuruz za silažu</v>
      </c>
      <c r="C22" s="316">
        <f t="shared" ca="1" si="0"/>
        <v>8409.8507559999998</v>
      </c>
      <c r="D22" s="323">
        <v>22</v>
      </c>
      <c r="F22" s="316" t="str">
        <f>CoefAni!B22</f>
        <v>Kokoši (nesilice i pijetlovi)</v>
      </c>
      <c r="G22" s="316">
        <f t="shared" ca="1" si="1"/>
        <v>12321</v>
      </c>
      <c r="H22" s="323">
        <v>22</v>
      </c>
    </row>
    <row r="23" spans="2:8" x14ac:dyDescent="0.2">
      <c r="B23" s="316" t="str">
        <f>CoefVeg!B23</f>
        <v>Trave i djetelinsko-travne smjese</v>
      </c>
      <c r="C23" s="316">
        <f t="shared" ca="1" si="0"/>
        <v>3100</v>
      </c>
      <c r="D23" s="323">
        <v>23</v>
      </c>
      <c r="F23" s="316" t="str">
        <f>CoefAni!B23</f>
        <v>Ostala perad (purani, patke, guske i ostalo)</v>
      </c>
      <c r="G23" s="316">
        <f t="shared" ca="1" si="1"/>
        <v>3921</v>
      </c>
      <c r="H23" s="323">
        <v>23</v>
      </c>
    </row>
    <row r="24" spans="2:8" x14ac:dyDescent="0.2">
      <c r="B24" s="316" t="str">
        <f>CoefVeg!B24</f>
        <v>Livade i trajni pašnjaci</v>
      </c>
      <c r="C24" s="316">
        <f t="shared" ca="1" si="0"/>
        <v>2355.7544590000002</v>
      </c>
      <c r="D24" s="323">
        <v>24</v>
      </c>
      <c r="F24" s="316" t="str">
        <f>CoefAni!B24</f>
        <v>Pčelinje zajednice</v>
      </c>
      <c r="G24" s="316">
        <f t="shared" ca="1" si="1"/>
        <v>511</v>
      </c>
      <c r="H24" s="323">
        <v>24</v>
      </c>
    </row>
    <row r="25" spans="2:8" x14ac:dyDescent="0.2">
      <c r="B25" s="316" t="str">
        <f>CoefVeg!B25</f>
        <v>Krmno korijenje i kupusnjače</v>
      </c>
      <c r="C25" s="316">
        <f t="shared" ca="1" si="0"/>
        <v>4920.1183819999997</v>
      </c>
      <c r="D25" s="323">
        <v>25</v>
      </c>
      <c r="F25" s="316" t="str">
        <f>CoefAni!B25</f>
        <v>Puževi</v>
      </c>
      <c r="G25" s="316">
        <f ca="1">INDIRECT("CoefAni!"&amp;$A$2&amp;H25)</f>
        <v>33</v>
      </c>
      <c r="H25" s="323">
        <v>25</v>
      </c>
    </row>
    <row r="26" spans="2:8" x14ac:dyDescent="0.2">
      <c r="B26" s="316" t="str">
        <f>CoefVeg!B26</f>
        <v xml:space="preserve">Sjeme i sadni materijal </v>
      </c>
      <c r="C26" s="316">
        <f t="shared" ca="1" si="0"/>
        <v>16983.812480000001</v>
      </c>
      <c r="D26" s="323">
        <v>26</v>
      </c>
      <c r="F26" s="316" t="str">
        <f>CoefAni!B26</f>
        <v>Kunići (rasplodne ženke)</v>
      </c>
      <c r="G26" s="316">
        <f ca="1">INDIRECT("CoefAni!"&amp;$A$2&amp;H26)</f>
        <v>158</v>
      </c>
      <c r="H26" s="323">
        <v>26</v>
      </c>
    </row>
    <row r="27" spans="2:8" x14ac:dyDescent="0.2">
      <c r="B27" s="316" t="str">
        <f>CoefVeg!B27</f>
        <v>Rasadnici</v>
      </c>
      <c r="C27" s="316">
        <f t="shared" ca="1" si="0"/>
        <v>276860.18239999999</v>
      </c>
      <c r="D27" s="323">
        <v>27</v>
      </c>
      <c r="H27" s="323"/>
    </row>
    <row r="28" spans="2:8" x14ac:dyDescent="0.2">
      <c r="B28" s="316" t="str">
        <f>CoefVeg!B28</f>
        <v>Cvijeće i ukrasno bilje (oranice, plastični tuneli)</v>
      </c>
      <c r="C28" s="316">
        <f t="shared" ca="1" si="0"/>
        <v>641200</v>
      </c>
      <c r="D28" s="323">
        <v>28</v>
      </c>
      <c r="H28" s="323"/>
    </row>
    <row r="29" spans="2:8" x14ac:dyDescent="0.2">
      <c r="B29" s="316" t="str">
        <f>CoefVeg!B29</f>
        <v>Cvijeće i ukrasno bilje (plastenici, staklenici)</v>
      </c>
      <c r="C29" s="316">
        <f t="shared" ca="1" si="0"/>
        <v>778600</v>
      </c>
      <c r="D29" s="323">
        <v>29</v>
      </c>
      <c r="H29" s="323"/>
    </row>
    <row r="30" spans="2:8" x14ac:dyDescent="0.2">
      <c r="B30" s="316" t="str">
        <f>CoefVeg!B30</f>
        <v>Povrće, dinje, lubenice, jagode (oranice)</v>
      </c>
      <c r="C30" s="316">
        <f t="shared" ca="1" si="0"/>
        <v>41899.176820000001</v>
      </c>
      <c r="D30" s="323">
        <v>30</v>
      </c>
      <c r="H30" s="323"/>
    </row>
    <row r="31" spans="2:8" x14ac:dyDescent="0.2">
      <c r="B31" s="316" t="str">
        <f>CoefVeg!B31</f>
        <v>Povrće, dinje, lubenice, jagode (plastični tuneli)</v>
      </c>
      <c r="C31" s="316">
        <f t="shared" ca="1" si="0"/>
        <v>51105.482429999996</v>
      </c>
      <c r="D31" s="323">
        <v>31</v>
      </c>
      <c r="H31" s="323"/>
    </row>
    <row r="32" spans="2:8" x14ac:dyDescent="0.2">
      <c r="B32" s="316" t="str">
        <f>CoefVeg!B32</f>
        <v>Povrće, dinje, lubenice, jagode (staklenici, plastenici)</v>
      </c>
      <c r="C32" s="316">
        <f t="shared" ca="1" si="0"/>
        <v>355814.00870000001</v>
      </c>
      <c r="D32" s="323">
        <v>32</v>
      </c>
      <c r="H32" s="323"/>
    </row>
    <row r="33" spans="2:8" x14ac:dyDescent="0.2">
      <c r="B33" s="316" t="str">
        <f>CoefVeg!B33</f>
        <v>Jabuka</v>
      </c>
      <c r="C33" s="316">
        <f t="shared" ca="1" si="0"/>
        <v>0</v>
      </c>
      <c r="D33" s="323">
        <v>33</v>
      </c>
      <c r="H33" s="323"/>
    </row>
    <row r="34" spans="2:8" x14ac:dyDescent="0.2">
      <c r="B34" s="316" t="str">
        <f>CoefVeg!B34</f>
        <v>Kruška</v>
      </c>
      <c r="C34" s="316">
        <f t="shared" ca="1" si="0"/>
        <v>0</v>
      </c>
      <c r="D34" s="323">
        <v>34</v>
      </c>
      <c r="H34" s="323"/>
    </row>
    <row r="35" spans="2:8" x14ac:dyDescent="0.2">
      <c r="B35" s="316" t="str">
        <f>CoefVeg!B35</f>
        <v>Jezgričasto voće (jabuka, kruška, dunja...)*</v>
      </c>
      <c r="C35" s="316">
        <f t="shared" ca="1" si="0"/>
        <v>13493.571250000001</v>
      </c>
      <c r="D35" s="323">
        <v>35</v>
      </c>
      <c r="H35" s="323"/>
    </row>
    <row r="36" spans="2:8" x14ac:dyDescent="0.2">
      <c r="B36" s="316" t="str">
        <f>CoefVeg!B36</f>
        <v>Breskva i nektarina</v>
      </c>
      <c r="C36" s="316">
        <f t="shared" ca="1" si="0"/>
        <v>0</v>
      </c>
      <c r="D36" s="323">
        <v>36</v>
      </c>
      <c r="H36" s="323"/>
    </row>
    <row r="37" spans="2:8" x14ac:dyDescent="0.2">
      <c r="B37" s="316" t="str">
        <f>CoefVeg!B37</f>
        <v>Marelica</v>
      </c>
      <c r="C37" s="316">
        <f t="shared" ca="1" si="0"/>
        <v>0</v>
      </c>
      <c r="D37" s="323">
        <v>37</v>
      </c>
      <c r="H37" s="323"/>
    </row>
    <row r="38" spans="2:8" x14ac:dyDescent="0.2">
      <c r="B38" s="316" t="str">
        <f>CoefVeg!B38</f>
        <v>Trešnja</v>
      </c>
      <c r="C38" s="316">
        <f t="shared" ca="1" si="0"/>
        <v>0</v>
      </c>
      <c r="D38" s="323">
        <v>38</v>
      </c>
      <c r="H38" s="323"/>
    </row>
    <row r="39" spans="2:8" x14ac:dyDescent="0.2">
      <c r="B39" s="316" t="str">
        <f>CoefVeg!B39</f>
        <v>Višnja</v>
      </c>
      <c r="C39" s="316">
        <f t="shared" ca="1" si="0"/>
        <v>0</v>
      </c>
      <c r="D39" s="323">
        <v>39</v>
      </c>
      <c r="H39" s="323"/>
    </row>
    <row r="40" spans="2:8" x14ac:dyDescent="0.2">
      <c r="B40" s="316" t="str">
        <f>CoefVeg!B40</f>
        <v>Šljiva</v>
      </c>
      <c r="C40" s="316">
        <f t="shared" ca="1" si="0"/>
        <v>0</v>
      </c>
      <c r="D40" s="323">
        <v>40</v>
      </c>
      <c r="H40" s="323"/>
    </row>
    <row r="41" spans="2:8" x14ac:dyDescent="0.2">
      <c r="B41" s="316" t="str">
        <f>CoefVeg!B41</f>
        <v>Koštičavo voće (šljiva, trešnja, višnja, breskva, marelica...)*</v>
      </c>
      <c r="C41" s="316">
        <f t="shared" ca="1" si="0"/>
        <v>13493.571250000001</v>
      </c>
      <c r="D41" s="323">
        <v>41</v>
      </c>
      <c r="H41" s="323"/>
    </row>
    <row r="42" spans="2:8" x14ac:dyDescent="0.2">
      <c r="B42" s="316" t="str">
        <f>CoefVeg!B42</f>
        <v>Malina</v>
      </c>
      <c r="C42" s="316">
        <f t="shared" ca="1" si="0"/>
        <v>0</v>
      </c>
      <c r="D42" s="323">
        <v>42</v>
      </c>
      <c r="H42" s="323"/>
    </row>
    <row r="43" spans="2:8" x14ac:dyDescent="0.2">
      <c r="B43" s="316" t="str">
        <f>CoefVeg!B43</f>
        <v>Kupina</v>
      </c>
      <c r="C43" s="316">
        <f t="shared" ca="1" si="0"/>
        <v>0</v>
      </c>
      <c r="D43" s="323">
        <v>43</v>
      </c>
      <c r="H43" s="323"/>
    </row>
    <row r="44" spans="2:8" x14ac:dyDescent="0.2">
      <c r="B44" s="316" t="str">
        <f>CoefVeg!B44</f>
        <v>Borovnica</v>
      </c>
      <c r="C44" s="316">
        <f t="shared" ca="1" si="0"/>
        <v>0</v>
      </c>
      <c r="D44" s="323">
        <v>44</v>
      </c>
      <c r="H44" s="323"/>
    </row>
    <row r="45" spans="2:8" x14ac:dyDescent="0.2">
      <c r="B45" s="316" t="str">
        <f>CoefVeg!B45</f>
        <v>Ribizl</v>
      </c>
      <c r="C45" s="316">
        <f t="shared" ca="1" si="0"/>
        <v>0</v>
      </c>
      <c r="D45" s="323">
        <v>45</v>
      </c>
      <c r="H45" s="323"/>
    </row>
    <row r="46" spans="2:8" x14ac:dyDescent="0.2">
      <c r="B46" s="316" t="str">
        <f>CoefVeg!B46</f>
        <v>Bobičasto voće (malina, kupina, ribizl, borovnica...)*</v>
      </c>
      <c r="C46" s="316">
        <f t="shared" ca="1" si="0"/>
        <v>18725.04679</v>
      </c>
      <c r="D46" s="323">
        <v>46</v>
      </c>
      <c r="H46" s="323"/>
    </row>
    <row r="47" spans="2:8" x14ac:dyDescent="0.2">
      <c r="B47" s="316" t="str">
        <f>CoefVeg!B47</f>
        <v>Lupinasto voće (orah, lješnjak, kesten, badem...)*</v>
      </c>
      <c r="C47" s="316">
        <f t="shared" ca="1" si="0"/>
        <v>5906.8412779999999</v>
      </c>
      <c r="D47" s="323">
        <v>47</v>
      </c>
      <c r="H47" s="323"/>
    </row>
    <row r="48" spans="2:8" x14ac:dyDescent="0.2">
      <c r="B48" s="316" t="str">
        <f>CoefVeg!B48</f>
        <v>Agrumi (mandarina, limun, naranča...)*</v>
      </c>
      <c r="C48" s="316">
        <f t="shared" ca="1" si="0"/>
        <v>0</v>
      </c>
      <c r="D48" s="323">
        <v>48</v>
      </c>
      <c r="H48" s="323"/>
    </row>
    <row r="49" spans="2:8" x14ac:dyDescent="0.2">
      <c r="B49" s="316" t="str">
        <f>CoefVeg!B49</f>
        <v>Grožđe za kvalitetna vina (sa ZOI)</v>
      </c>
      <c r="C49" s="316">
        <f t="shared" ca="1" si="0"/>
        <v>27673.747780000002</v>
      </c>
      <c r="D49" s="323">
        <v>49</v>
      </c>
      <c r="H49" s="323"/>
    </row>
    <row r="50" spans="2:8" x14ac:dyDescent="0.2">
      <c r="B50" s="316" t="str">
        <f>CoefVeg!B50</f>
        <v>Grožđe za ostala vina (bez ZOI)</v>
      </c>
      <c r="C50" s="316">
        <f t="shared" ca="1" si="0"/>
        <v>27673.747780000002</v>
      </c>
      <c r="D50" s="323">
        <v>50</v>
      </c>
      <c r="H50" s="323"/>
    </row>
    <row r="51" spans="2:8" x14ac:dyDescent="0.2">
      <c r="B51" s="316" t="str">
        <f>CoefVeg!B51</f>
        <v>Stolno grožđe</v>
      </c>
      <c r="C51" s="316">
        <f t="shared" ca="1" si="0"/>
        <v>30361.32</v>
      </c>
      <c r="D51" s="323">
        <v>51</v>
      </c>
      <c r="H51" s="323"/>
    </row>
    <row r="52" spans="2:8" x14ac:dyDescent="0.2">
      <c r="B52" s="316" t="str">
        <f>CoefVeg!B52</f>
        <v>Stolne masline</v>
      </c>
      <c r="C52" s="316">
        <f t="shared" ca="1" si="0"/>
        <v>0</v>
      </c>
      <c r="D52" s="323">
        <v>52</v>
      </c>
      <c r="H52" s="323"/>
    </row>
    <row r="53" spans="2:8" x14ac:dyDescent="0.2">
      <c r="B53" s="316" t="str">
        <f>CoefVeg!B53</f>
        <v>Masline za proizvodnju ulja</v>
      </c>
      <c r="C53" s="316">
        <f t="shared" ca="1" si="0"/>
        <v>0</v>
      </c>
      <c r="D53" s="323">
        <v>53</v>
      </c>
      <c r="H53" s="323"/>
    </row>
    <row r="54" spans="2:8" x14ac:dyDescent="0.2">
      <c r="B54" s="316" t="str">
        <f>CoefVeg!B54</f>
        <v>Gljive</v>
      </c>
      <c r="C54" s="316">
        <f t="shared" ca="1" si="0"/>
        <v>2730</v>
      </c>
      <c r="D54" s="323">
        <v>54</v>
      </c>
    </row>
    <row r="55" spans="2:8" x14ac:dyDescent="0.2">
      <c r="B55" s="316" t="str">
        <f>CoefVeg!B55</f>
        <v>Božićna drvca</v>
      </c>
      <c r="C55" s="316">
        <f ca="1">INDIRECT("CoefVeg!"&amp;$A$2&amp;D55)</f>
        <v>27930</v>
      </c>
      <c r="D55" s="323">
        <v>55</v>
      </c>
    </row>
    <row r="56" spans="2:8" x14ac:dyDescent="0.2">
      <c r="B56" s="316" t="str">
        <f>CoefVeg!B56</f>
        <v>Ugari</v>
      </c>
      <c r="C56" s="316">
        <f ca="1">INDIRECT("CoefVeg!"&amp;$A$2&amp;D56)</f>
        <v>0</v>
      </c>
      <c r="D56" s="323">
        <v>56</v>
      </c>
    </row>
  </sheetData>
  <sheetProtection sheet="1" objects="1" scenarios="1" selectLockedCells="1" selectUnlockedCells="1"/>
  <phoneticPr fontId="0" type="noConversion"/>
  <pageMargins left="0.75" right="0.75" top="1" bottom="1" header="0.4921259845" footer="0.4921259845"/>
  <pageSetup paperSize="9" orientation="landscape" horizontalDpi="4294967292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85"/>
  <sheetViews>
    <sheetView zoomScaleNormal="100" workbookViewId="0">
      <pane ySplit="1" topLeftCell="A58" activePane="bottomLeft" state="frozen"/>
      <selection pane="bottomLeft" activeCell="C101" sqref="C101"/>
    </sheetView>
  </sheetViews>
  <sheetFormatPr defaultColWidth="19.28515625" defaultRowHeight="12.75" x14ac:dyDescent="0.2"/>
  <cols>
    <col min="1" max="1" width="6.28515625" style="304" bestFit="1" customWidth="1"/>
    <col min="2" max="2" width="47" style="304" bestFit="1" customWidth="1"/>
    <col min="3" max="3" width="8" style="304" customWidth="1"/>
    <col min="4" max="4" width="5.42578125" style="304" customWidth="1"/>
    <col min="5" max="5" width="6.7109375" style="304" customWidth="1"/>
    <col min="6" max="7" width="19.28515625" style="304"/>
    <col min="8" max="8" width="5.140625" style="304" customWidth="1"/>
    <col min="9" max="9" width="19.28515625" style="305"/>
    <col min="10" max="10" width="19.28515625" style="304"/>
    <col min="11" max="11" width="8.28515625" style="304" customWidth="1"/>
    <col min="12" max="14" width="19.28515625" style="304"/>
    <col min="15" max="15" width="47" style="304" bestFit="1" customWidth="1"/>
    <col min="16" max="16384" width="19.28515625" style="304"/>
  </cols>
  <sheetData>
    <row r="1" spans="1:15" x14ac:dyDescent="0.2">
      <c r="F1" s="304" t="s">
        <v>497</v>
      </c>
      <c r="G1" s="304" t="s">
        <v>498</v>
      </c>
    </row>
    <row r="2" spans="1:15" x14ac:dyDescent="0.2">
      <c r="K2" s="304" t="s">
        <v>657</v>
      </c>
    </row>
    <row r="4" spans="1:15" s="306" customFormat="1" x14ac:dyDescent="0.2">
      <c r="A4" s="306" t="s">
        <v>38</v>
      </c>
      <c r="B4" s="306" t="s">
        <v>93</v>
      </c>
      <c r="C4" s="306" t="s">
        <v>94</v>
      </c>
      <c r="D4" s="306" t="s">
        <v>137</v>
      </c>
      <c r="E4" s="306" t="s">
        <v>95</v>
      </c>
      <c r="F4" s="306" t="s">
        <v>160</v>
      </c>
      <c r="G4" s="306" t="s">
        <v>161</v>
      </c>
      <c r="I4" s="307"/>
      <c r="J4" s="308" t="s">
        <v>736</v>
      </c>
      <c r="K4" s="306" t="s">
        <v>554</v>
      </c>
      <c r="M4" s="303" t="s">
        <v>748</v>
      </c>
      <c r="O4" s="306" t="s">
        <v>93</v>
      </c>
    </row>
    <row r="5" spans="1:15" ht="15" x14ac:dyDescent="0.25">
      <c r="A5" s="304" t="s">
        <v>3</v>
      </c>
      <c r="B5" s="304" t="s">
        <v>39</v>
      </c>
      <c r="C5" s="304" t="s">
        <v>41</v>
      </c>
      <c r="D5" s="304" t="s">
        <v>140</v>
      </c>
      <c r="E5" s="304">
        <v>0</v>
      </c>
      <c r="F5" s="302">
        <v>6335.8475070000004</v>
      </c>
      <c r="G5" s="302">
        <v>4312.8363740000004</v>
      </c>
      <c r="I5" s="309">
        <v>10110</v>
      </c>
      <c r="K5" s="304" t="s">
        <v>40</v>
      </c>
      <c r="L5" s="310" t="s">
        <v>171</v>
      </c>
      <c r="M5" s="303" t="s">
        <v>747</v>
      </c>
      <c r="N5" s="303" t="s">
        <v>749</v>
      </c>
      <c r="O5" s="304" t="s">
        <v>39</v>
      </c>
    </row>
    <row r="6" spans="1:15" ht="15" x14ac:dyDescent="0.25">
      <c r="A6" s="304" t="s">
        <v>7</v>
      </c>
      <c r="B6" s="304" t="s">
        <v>422</v>
      </c>
      <c r="C6" s="304" t="s">
        <v>44</v>
      </c>
      <c r="D6" s="304" t="s">
        <v>142</v>
      </c>
      <c r="E6" s="304">
        <v>0</v>
      </c>
      <c r="F6" s="302">
        <v>6914.117045</v>
      </c>
      <c r="G6" s="302">
        <v>6174.8664440000002</v>
      </c>
      <c r="H6" s="311"/>
      <c r="I6" s="309">
        <v>10160</v>
      </c>
      <c r="J6" s="312" t="s">
        <v>173</v>
      </c>
      <c r="K6" s="304" t="s">
        <v>40</v>
      </c>
      <c r="L6" s="310" t="s">
        <v>173</v>
      </c>
      <c r="O6" s="304" t="s">
        <v>422</v>
      </c>
    </row>
    <row r="7" spans="1:15" ht="15" x14ac:dyDescent="0.25">
      <c r="A7" s="304" t="s">
        <v>4</v>
      </c>
      <c r="B7" s="304" t="s">
        <v>42</v>
      </c>
      <c r="C7" s="304" t="s">
        <v>43</v>
      </c>
      <c r="D7" s="304" t="s">
        <v>141</v>
      </c>
      <c r="E7" s="304">
        <v>0</v>
      </c>
      <c r="F7" s="302">
        <v>5316.3696360000004</v>
      </c>
      <c r="G7" s="302">
        <v>4118.2147770000001</v>
      </c>
      <c r="H7" s="311"/>
      <c r="I7" s="309">
        <v>10140</v>
      </c>
      <c r="K7" s="304" t="s">
        <v>40</v>
      </c>
      <c r="L7" s="310" t="s">
        <v>172</v>
      </c>
      <c r="O7" s="304" t="s">
        <v>42</v>
      </c>
    </row>
    <row r="8" spans="1:15" ht="15" x14ac:dyDescent="0.25">
      <c r="B8" s="304" t="s">
        <v>404</v>
      </c>
      <c r="C8" s="304" t="s">
        <v>419</v>
      </c>
      <c r="E8" s="304">
        <v>0</v>
      </c>
      <c r="F8" s="302">
        <v>3488.229092</v>
      </c>
      <c r="G8" s="302">
        <v>2806.9456839999998</v>
      </c>
      <c r="I8" s="309">
        <v>10150</v>
      </c>
      <c r="J8" s="304" t="s">
        <v>408</v>
      </c>
      <c r="K8" s="304" t="s">
        <v>40</v>
      </c>
      <c r="L8" s="310" t="s">
        <v>408</v>
      </c>
      <c r="O8" s="304" t="s">
        <v>404</v>
      </c>
    </row>
    <row r="9" spans="1:15" ht="15" x14ac:dyDescent="0.25">
      <c r="B9" s="304" t="s">
        <v>407</v>
      </c>
      <c r="C9" s="304" t="s">
        <v>405</v>
      </c>
      <c r="E9" s="304">
        <v>0</v>
      </c>
      <c r="F9" s="302">
        <v>3715.3125009999999</v>
      </c>
      <c r="G9" s="302">
        <v>3380.4550330000002</v>
      </c>
      <c r="I9" s="309">
        <v>10130</v>
      </c>
      <c r="J9" s="304" t="s">
        <v>406</v>
      </c>
      <c r="K9" s="304" t="s">
        <v>40</v>
      </c>
      <c r="L9" s="310" t="s">
        <v>406</v>
      </c>
      <c r="O9" s="304" t="s">
        <v>407</v>
      </c>
    </row>
    <row r="10" spans="1:15" ht="15" x14ac:dyDescent="0.25">
      <c r="A10" s="304" t="s">
        <v>9</v>
      </c>
      <c r="B10" s="304" t="s">
        <v>775</v>
      </c>
      <c r="C10" s="304" t="s">
        <v>45</v>
      </c>
      <c r="D10" s="304" t="s">
        <v>143</v>
      </c>
      <c r="E10" s="304">
        <v>0</v>
      </c>
      <c r="F10" s="302">
        <v>4041.5578820000001</v>
      </c>
      <c r="G10" s="302">
        <v>3376.2283160000002</v>
      </c>
      <c r="I10" s="309">
        <v>10190</v>
      </c>
      <c r="J10" s="304" t="s">
        <v>174</v>
      </c>
      <c r="K10" s="304" t="s">
        <v>40</v>
      </c>
      <c r="L10" s="310" t="s">
        <v>174</v>
      </c>
      <c r="O10" s="304" t="s">
        <v>656</v>
      </c>
    </row>
    <row r="11" spans="1:15" ht="15" x14ac:dyDescent="0.25">
      <c r="A11" s="304" t="s">
        <v>6</v>
      </c>
      <c r="B11" s="304" t="s">
        <v>650</v>
      </c>
      <c r="C11" s="304" t="s">
        <v>49</v>
      </c>
      <c r="D11" s="304" t="s">
        <v>146</v>
      </c>
      <c r="E11" s="304">
        <v>0</v>
      </c>
      <c r="F11" s="302">
        <v>13239.881149999999</v>
      </c>
      <c r="G11" s="302">
        <v>0</v>
      </c>
      <c r="I11" s="309">
        <v>10400</v>
      </c>
      <c r="J11" s="304" t="s">
        <v>178</v>
      </c>
      <c r="K11" s="304" t="s">
        <v>40</v>
      </c>
      <c r="L11" s="310" t="s">
        <v>178</v>
      </c>
      <c r="O11" s="304" t="s">
        <v>650</v>
      </c>
    </row>
    <row r="12" spans="1:15" ht="15" x14ac:dyDescent="0.25">
      <c r="A12" s="304" t="s">
        <v>51</v>
      </c>
      <c r="B12" s="304" t="s">
        <v>649</v>
      </c>
      <c r="C12" s="304" t="s">
        <v>52</v>
      </c>
      <c r="D12" s="304" t="s">
        <v>148</v>
      </c>
      <c r="E12" s="304">
        <v>0</v>
      </c>
      <c r="F12" s="302">
        <v>16383.55934</v>
      </c>
      <c r="G12" s="302">
        <v>0</v>
      </c>
      <c r="I12" s="309">
        <v>10601</v>
      </c>
      <c r="J12" s="304" t="s">
        <v>187</v>
      </c>
      <c r="K12" s="304" t="s">
        <v>40</v>
      </c>
      <c r="L12" s="310" t="s">
        <v>187</v>
      </c>
      <c r="O12" s="304" t="s">
        <v>649</v>
      </c>
    </row>
    <row r="13" spans="1:15" ht="15" x14ac:dyDescent="0.25">
      <c r="A13" s="304" t="s">
        <v>5</v>
      </c>
      <c r="B13" s="304" t="s">
        <v>47</v>
      </c>
      <c r="C13" s="304" t="s">
        <v>48</v>
      </c>
      <c r="D13" s="304" t="s">
        <v>145</v>
      </c>
      <c r="E13" s="304">
        <v>0</v>
      </c>
      <c r="F13" s="302">
        <v>25089.69256</v>
      </c>
      <c r="G13" s="302">
        <v>18996.585419999999</v>
      </c>
      <c r="I13" s="309">
        <v>10300</v>
      </c>
      <c r="J13" s="304" t="s">
        <v>177</v>
      </c>
      <c r="K13" s="304" t="s">
        <v>40</v>
      </c>
      <c r="L13" s="310" t="s">
        <v>177</v>
      </c>
      <c r="O13" s="304" t="s">
        <v>47</v>
      </c>
    </row>
    <row r="14" spans="1:15" ht="15" x14ac:dyDescent="0.25">
      <c r="A14" s="304" t="s">
        <v>54</v>
      </c>
      <c r="B14" s="304" t="s">
        <v>53</v>
      </c>
      <c r="C14" s="304" t="s">
        <v>55</v>
      </c>
      <c r="D14" s="304" t="s">
        <v>149</v>
      </c>
      <c r="E14" s="304">
        <v>0</v>
      </c>
      <c r="F14" s="302">
        <v>7576.0914480000001</v>
      </c>
      <c r="G14" s="302">
        <v>4823.9342399999996</v>
      </c>
      <c r="I14" s="309">
        <v>10604</v>
      </c>
      <c r="J14" s="304" t="s">
        <v>188</v>
      </c>
      <c r="K14" s="304" t="s">
        <v>40</v>
      </c>
      <c r="L14" s="310" t="s">
        <v>188</v>
      </c>
      <c r="O14" s="304" t="s">
        <v>53</v>
      </c>
    </row>
    <row r="15" spans="1:15" ht="15" x14ac:dyDescent="0.25">
      <c r="A15" s="304" t="s">
        <v>57</v>
      </c>
      <c r="B15" s="304" t="s">
        <v>56</v>
      </c>
      <c r="C15" s="304" t="s">
        <v>58</v>
      </c>
      <c r="D15" s="304" t="s">
        <v>150</v>
      </c>
      <c r="E15" s="304">
        <v>0</v>
      </c>
      <c r="F15" s="302">
        <v>6835.0909300000003</v>
      </c>
      <c r="G15" s="302">
        <v>4090.1626019999999</v>
      </c>
      <c r="I15" s="309">
        <v>10605</v>
      </c>
      <c r="J15" s="304" t="s">
        <v>189</v>
      </c>
      <c r="K15" s="304" t="s">
        <v>40</v>
      </c>
      <c r="L15" s="310" t="s">
        <v>189</v>
      </c>
      <c r="O15" s="304" t="s">
        <v>56</v>
      </c>
    </row>
    <row r="16" spans="1:15" ht="15" x14ac:dyDescent="0.25">
      <c r="A16" s="304" t="s">
        <v>59</v>
      </c>
      <c r="B16" s="304" t="s">
        <v>2</v>
      </c>
      <c r="C16" s="304" t="s">
        <v>60</v>
      </c>
      <c r="D16" s="304" t="s">
        <v>2</v>
      </c>
      <c r="E16" s="304">
        <v>0</v>
      </c>
      <c r="F16" s="302">
        <v>6280.819904</v>
      </c>
      <c r="G16" s="302">
        <v>4195.303844</v>
      </c>
      <c r="I16" s="309">
        <v>10606</v>
      </c>
      <c r="J16" s="304" t="s">
        <v>190</v>
      </c>
      <c r="K16" s="304" t="s">
        <v>40</v>
      </c>
      <c r="L16" s="310" t="s">
        <v>190</v>
      </c>
      <c r="O16" s="304" t="s">
        <v>2</v>
      </c>
    </row>
    <row r="17" spans="1:15" ht="15" x14ac:dyDescent="0.25">
      <c r="A17" s="304" t="s">
        <v>61</v>
      </c>
      <c r="B17" s="304" t="s">
        <v>776</v>
      </c>
      <c r="C17" s="304" t="s">
        <v>62</v>
      </c>
      <c r="D17" s="304" t="s">
        <v>151</v>
      </c>
      <c r="E17" s="304">
        <v>0</v>
      </c>
      <c r="F17" s="302">
        <v>7003.9763199999998</v>
      </c>
      <c r="G17" s="302">
        <v>3721.1777780000002</v>
      </c>
      <c r="I17" s="309">
        <v>10608</v>
      </c>
      <c r="J17" s="304" t="s">
        <v>191</v>
      </c>
      <c r="K17" s="304" t="s">
        <v>40</v>
      </c>
      <c r="L17" s="310" t="s">
        <v>191</v>
      </c>
      <c r="O17" s="304" t="s">
        <v>648</v>
      </c>
    </row>
    <row r="18" spans="1:15" ht="15" x14ac:dyDescent="0.25">
      <c r="A18" s="304" t="s">
        <v>64</v>
      </c>
      <c r="B18" s="304" t="s">
        <v>163</v>
      </c>
      <c r="C18" s="304" t="s">
        <v>65</v>
      </c>
      <c r="D18" s="304" t="s">
        <v>153</v>
      </c>
      <c r="E18" s="304">
        <v>0</v>
      </c>
      <c r="F18" s="302">
        <v>11287.422759999999</v>
      </c>
      <c r="G18" s="302">
        <v>11636.360769999999</v>
      </c>
      <c r="I18" s="309">
        <v>10612</v>
      </c>
      <c r="J18" s="304" t="s">
        <v>193</v>
      </c>
      <c r="K18" s="304" t="s">
        <v>40</v>
      </c>
      <c r="L18" s="310" t="s">
        <v>193</v>
      </c>
      <c r="O18" s="304" t="s">
        <v>163</v>
      </c>
    </row>
    <row r="19" spans="1:15" ht="15" x14ac:dyDescent="0.25">
      <c r="A19" s="304" t="s">
        <v>525</v>
      </c>
      <c r="B19" s="304" t="s">
        <v>777</v>
      </c>
      <c r="C19" s="304" t="s">
        <v>63</v>
      </c>
      <c r="D19" s="304" t="s">
        <v>152</v>
      </c>
      <c r="E19" s="304">
        <v>0</v>
      </c>
      <c r="F19" s="302">
        <v>2627.2917470000002</v>
      </c>
      <c r="G19" s="302">
        <v>2627.2917470000002</v>
      </c>
      <c r="I19" s="309">
        <v>10690</v>
      </c>
      <c r="J19" s="304" t="s">
        <v>192</v>
      </c>
      <c r="K19" s="304" t="s">
        <v>40</v>
      </c>
      <c r="L19" s="310" t="s">
        <v>560</v>
      </c>
      <c r="O19" s="304" t="s">
        <v>737</v>
      </c>
    </row>
    <row r="20" spans="1:15" ht="15" x14ac:dyDescent="0.25">
      <c r="A20" s="304" t="s">
        <v>176</v>
      </c>
      <c r="B20" s="304" t="s">
        <v>655</v>
      </c>
      <c r="C20" s="304" t="s">
        <v>46</v>
      </c>
      <c r="D20" s="304" t="s">
        <v>144</v>
      </c>
      <c r="E20" s="304">
        <v>0</v>
      </c>
      <c r="F20" s="302">
        <v>12362.03069</v>
      </c>
      <c r="G20" s="302">
        <v>24680.343980000001</v>
      </c>
      <c r="I20" s="309">
        <v>10210</v>
      </c>
      <c r="J20" s="304" t="s">
        <v>175</v>
      </c>
      <c r="K20" s="304" t="s">
        <v>40</v>
      </c>
      <c r="L20" s="310" t="s">
        <v>175</v>
      </c>
      <c r="M20" s="303" t="s">
        <v>751</v>
      </c>
      <c r="N20" s="303" t="s">
        <v>754</v>
      </c>
      <c r="O20" s="304" t="s">
        <v>655</v>
      </c>
    </row>
    <row r="21" spans="1:15" ht="15" x14ac:dyDescent="0.25">
      <c r="A21" s="304" t="s">
        <v>409</v>
      </c>
      <c r="B21" s="304" t="s">
        <v>738</v>
      </c>
      <c r="C21" s="304" t="s">
        <v>205</v>
      </c>
      <c r="D21" s="304" t="s">
        <v>206</v>
      </c>
      <c r="E21" s="304">
        <v>0</v>
      </c>
      <c r="F21" s="302">
        <v>4942.2004040000002</v>
      </c>
      <c r="G21" s="302">
        <v>3242.7237100000002</v>
      </c>
      <c r="I21" s="309">
        <v>10922</v>
      </c>
      <c r="J21" s="304" t="s">
        <v>415</v>
      </c>
      <c r="K21" s="304" t="s">
        <v>40</v>
      </c>
      <c r="L21" s="310" t="s">
        <v>410</v>
      </c>
      <c r="O21" s="304" t="s">
        <v>738</v>
      </c>
    </row>
    <row r="22" spans="1:15" ht="15" x14ac:dyDescent="0.25">
      <c r="A22" s="304" t="s">
        <v>412</v>
      </c>
      <c r="B22" s="304" t="s">
        <v>411</v>
      </c>
      <c r="C22" s="304" t="s">
        <v>420</v>
      </c>
      <c r="D22" s="304" t="s">
        <v>234</v>
      </c>
      <c r="E22" s="304">
        <v>0</v>
      </c>
      <c r="F22" s="302">
        <v>8409.8507559999998</v>
      </c>
      <c r="G22" s="302">
        <v>5689.2587880000001</v>
      </c>
      <c r="I22" s="309">
        <v>10921</v>
      </c>
      <c r="J22" s="304" t="s">
        <v>413</v>
      </c>
      <c r="K22" s="304" t="s">
        <v>40</v>
      </c>
      <c r="L22" s="310" t="s">
        <v>413</v>
      </c>
      <c r="O22" s="304" t="s">
        <v>411</v>
      </c>
    </row>
    <row r="23" spans="1:15" ht="15" x14ac:dyDescent="0.25">
      <c r="A23" s="304" t="s">
        <v>185</v>
      </c>
      <c r="B23" s="304" t="s">
        <v>653</v>
      </c>
      <c r="C23" s="304" t="s">
        <v>204</v>
      </c>
      <c r="D23" s="304" t="s">
        <v>207</v>
      </c>
      <c r="E23" s="304">
        <v>0</v>
      </c>
      <c r="F23" s="302">
        <v>3100</v>
      </c>
      <c r="G23" s="302">
        <v>1842.490421</v>
      </c>
      <c r="I23" s="309">
        <v>10910</v>
      </c>
      <c r="J23" s="304" t="s">
        <v>410</v>
      </c>
      <c r="K23" s="304" t="s">
        <v>40</v>
      </c>
      <c r="L23" s="310" t="s">
        <v>746</v>
      </c>
      <c r="M23" s="303" t="s">
        <v>753</v>
      </c>
      <c r="N23" s="303" t="s">
        <v>752</v>
      </c>
      <c r="O23" s="304" t="s">
        <v>653</v>
      </c>
    </row>
    <row r="24" spans="1:15" ht="15" x14ac:dyDescent="0.25">
      <c r="A24" s="304" t="s">
        <v>8</v>
      </c>
      <c r="B24" s="304" t="s">
        <v>526</v>
      </c>
      <c r="C24" s="304" t="s">
        <v>66</v>
      </c>
      <c r="D24" s="304" t="s">
        <v>233</v>
      </c>
      <c r="E24" s="304">
        <v>0</v>
      </c>
      <c r="F24" s="302">
        <v>2355.7544590000002</v>
      </c>
      <c r="G24" s="302">
        <v>1419.3057429999999</v>
      </c>
      <c r="I24" s="309" t="s">
        <v>739</v>
      </c>
      <c r="J24" s="304" t="s">
        <v>194</v>
      </c>
      <c r="K24" s="304" t="s">
        <v>40</v>
      </c>
      <c r="L24" s="310" t="s">
        <v>194</v>
      </c>
      <c r="M24" s="303" t="s">
        <v>755</v>
      </c>
      <c r="N24" s="303" t="s">
        <v>750</v>
      </c>
      <c r="O24" s="304" t="s">
        <v>526</v>
      </c>
    </row>
    <row r="25" spans="1:15" ht="15" x14ac:dyDescent="0.25">
      <c r="A25" s="304" t="s">
        <v>6</v>
      </c>
      <c r="B25" s="304" t="s">
        <v>654</v>
      </c>
      <c r="C25" s="304" t="s">
        <v>49</v>
      </c>
      <c r="D25" s="304" t="s">
        <v>146</v>
      </c>
      <c r="E25" s="304">
        <v>0</v>
      </c>
      <c r="F25" s="302">
        <v>4920.1183819999997</v>
      </c>
      <c r="G25" s="302">
        <v>4865.377383</v>
      </c>
      <c r="I25" s="309">
        <v>10500</v>
      </c>
      <c r="J25" s="304" t="s">
        <v>178</v>
      </c>
      <c r="K25" s="304" t="s">
        <v>40</v>
      </c>
      <c r="L25" s="310" t="s">
        <v>179</v>
      </c>
      <c r="O25" s="304" t="s">
        <v>654</v>
      </c>
    </row>
    <row r="26" spans="1:15" ht="15" x14ac:dyDescent="0.25">
      <c r="A26" s="304" t="s">
        <v>15</v>
      </c>
      <c r="B26" s="308" t="s">
        <v>740</v>
      </c>
      <c r="C26" s="304" t="s">
        <v>138</v>
      </c>
      <c r="D26" s="304" t="s">
        <v>147</v>
      </c>
      <c r="E26" s="304">
        <v>0</v>
      </c>
      <c r="F26" s="302">
        <v>16983.812480000001</v>
      </c>
      <c r="G26" s="302">
        <v>16983.812480000001</v>
      </c>
      <c r="I26" s="309">
        <v>11000</v>
      </c>
      <c r="J26" s="304" t="s">
        <v>186</v>
      </c>
      <c r="K26" s="304" t="s">
        <v>40</v>
      </c>
      <c r="L26" s="310" t="s">
        <v>186</v>
      </c>
      <c r="O26" s="308" t="s">
        <v>740</v>
      </c>
    </row>
    <row r="27" spans="1:15" ht="15" x14ac:dyDescent="0.25">
      <c r="A27" s="304" t="s">
        <v>18</v>
      </c>
      <c r="B27" s="304" t="s">
        <v>416</v>
      </c>
      <c r="C27" s="304" t="s">
        <v>299</v>
      </c>
      <c r="D27" s="304" t="s">
        <v>159</v>
      </c>
      <c r="E27" s="304">
        <v>0</v>
      </c>
      <c r="F27" s="302">
        <v>276860.18239999999</v>
      </c>
      <c r="G27" s="302">
        <v>276860.18239999999</v>
      </c>
      <c r="I27" s="309">
        <v>40500</v>
      </c>
      <c r="J27" s="304" t="s">
        <v>203</v>
      </c>
      <c r="K27" s="304" t="s">
        <v>40</v>
      </c>
      <c r="L27" s="310" t="s">
        <v>203</v>
      </c>
      <c r="O27" s="304" t="s">
        <v>416</v>
      </c>
    </row>
    <row r="28" spans="1:15" ht="15" x14ac:dyDescent="0.25">
      <c r="A28" s="304" t="s">
        <v>13</v>
      </c>
      <c r="B28" s="304" t="s">
        <v>705</v>
      </c>
      <c r="C28" s="304" t="s">
        <v>243</v>
      </c>
      <c r="D28" s="304" t="s">
        <v>241</v>
      </c>
      <c r="E28" s="304">
        <v>0</v>
      </c>
      <c r="F28" s="302">
        <v>641200</v>
      </c>
      <c r="G28" s="302">
        <v>687000</v>
      </c>
      <c r="I28" s="309">
        <v>10810</v>
      </c>
      <c r="J28" s="304" t="s">
        <v>183</v>
      </c>
      <c r="K28" s="304" t="s">
        <v>40</v>
      </c>
      <c r="L28" s="310" t="s">
        <v>183</v>
      </c>
      <c r="O28" s="304" t="s">
        <v>705</v>
      </c>
    </row>
    <row r="29" spans="1:15" ht="15" x14ac:dyDescent="0.25">
      <c r="A29" s="304" t="s">
        <v>16</v>
      </c>
      <c r="B29" s="304" t="s">
        <v>644</v>
      </c>
      <c r="C29" s="304" t="s">
        <v>244</v>
      </c>
      <c r="D29" s="304" t="s">
        <v>242</v>
      </c>
      <c r="E29" s="304">
        <v>0</v>
      </c>
      <c r="F29" s="302">
        <v>778600</v>
      </c>
      <c r="G29" s="302">
        <v>778600</v>
      </c>
      <c r="I29" s="309">
        <v>10820</v>
      </c>
      <c r="J29" s="304" t="s">
        <v>184</v>
      </c>
      <c r="K29" s="304" t="s">
        <v>40</v>
      </c>
      <c r="L29" s="310" t="s">
        <v>184</v>
      </c>
      <c r="O29" s="304" t="s">
        <v>644</v>
      </c>
    </row>
    <row r="30" spans="1:15" ht="15" x14ac:dyDescent="0.25">
      <c r="A30" s="304" t="s">
        <v>50</v>
      </c>
      <c r="B30" s="304" t="s">
        <v>645</v>
      </c>
      <c r="C30" s="304" t="s">
        <v>239</v>
      </c>
      <c r="D30" s="304" t="s">
        <v>235</v>
      </c>
      <c r="E30" s="304">
        <v>0</v>
      </c>
      <c r="F30" s="302">
        <v>41899.176820000001</v>
      </c>
      <c r="G30" s="302">
        <v>63348.188990000002</v>
      </c>
      <c r="I30" s="309">
        <v>10711</v>
      </c>
      <c r="J30" s="304" t="s">
        <v>180</v>
      </c>
      <c r="K30" s="304" t="s">
        <v>40</v>
      </c>
      <c r="L30" s="310" t="s">
        <v>180</v>
      </c>
      <c r="O30" s="304" t="s">
        <v>645</v>
      </c>
    </row>
    <row r="31" spans="1:15" ht="15" x14ac:dyDescent="0.25">
      <c r="A31" s="304" t="s">
        <v>10</v>
      </c>
      <c r="B31" s="304" t="s">
        <v>646</v>
      </c>
      <c r="C31" s="304" t="s">
        <v>240</v>
      </c>
      <c r="D31" s="304" t="s">
        <v>236</v>
      </c>
      <c r="E31" s="304">
        <v>0</v>
      </c>
      <c r="F31" s="302">
        <v>51105.482429999996</v>
      </c>
      <c r="G31" s="302">
        <v>61318.864170000001</v>
      </c>
      <c r="I31" s="309">
        <v>10712</v>
      </c>
      <c r="J31" s="304" t="s">
        <v>181</v>
      </c>
      <c r="K31" s="304" t="s">
        <v>40</v>
      </c>
      <c r="L31" s="310" t="s">
        <v>181</v>
      </c>
      <c r="O31" s="304" t="s">
        <v>646</v>
      </c>
    </row>
    <row r="32" spans="1:15" ht="15" x14ac:dyDescent="0.25">
      <c r="A32" s="304" t="s">
        <v>11</v>
      </c>
      <c r="B32" s="304" t="s">
        <v>647</v>
      </c>
      <c r="C32" s="304" t="s">
        <v>238</v>
      </c>
      <c r="D32" s="304" t="s">
        <v>237</v>
      </c>
      <c r="E32" s="304">
        <v>0</v>
      </c>
      <c r="F32" s="302">
        <v>355814.00870000001</v>
      </c>
      <c r="G32" s="302">
        <v>487281.94319999998</v>
      </c>
      <c r="I32" s="309">
        <v>10720</v>
      </c>
      <c r="J32" s="304" t="s">
        <v>182</v>
      </c>
      <c r="K32" s="304" t="s">
        <v>40</v>
      </c>
      <c r="L32" s="310" t="s">
        <v>182</v>
      </c>
      <c r="O32" s="304" t="s">
        <v>647</v>
      </c>
    </row>
    <row r="33" spans="1:15" x14ac:dyDescent="0.2">
      <c r="B33" s="304" t="s">
        <v>527</v>
      </c>
      <c r="I33" s="309">
        <v>40111</v>
      </c>
      <c r="K33" s="304" t="s">
        <v>40</v>
      </c>
      <c r="O33" s="304" t="s">
        <v>527</v>
      </c>
    </row>
    <row r="34" spans="1:15" x14ac:dyDescent="0.2">
      <c r="B34" s="304" t="s">
        <v>528</v>
      </c>
      <c r="I34" s="309">
        <v>40112</v>
      </c>
      <c r="K34" s="304" t="s">
        <v>40</v>
      </c>
      <c r="O34" s="304" t="s">
        <v>528</v>
      </c>
    </row>
    <row r="35" spans="1:15" ht="15" x14ac:dyDescent="0.25">
      <c r="A35" s="304" t="s">
        <v>195</v>
      </c>
      <c r="B35" s="304" t="s">
        <v>778</v>
      </c>
      <c r="C35" s="304" t="s">
        <v>139</v>
      </c>
      <c r="D35" s="304" t="s">
        <v>154</v>
      </c>
      <c r="E35" s="304">
        <v>0</v>
      </c>
      <c r="F35" s="302">
        <v>13493.571250000001</v>
      </c>
      <c r="G35" s="302">
        <v>14361.204320000001</v>
      </c>
      <c r="I35" s="309"/>
      <c r="J35" s="304" t="s">
        <v>423</v>
      </c>
      <c r="K35" s="304" t="s">
        <v>40</v>
      </c>
      <c r="L35" s="310" t="s">
        <v>423</v>
      </c>
      <c r="O35" s="304" t="s">
        <v>661</v>
      </c>
    </row>
    <row r="36" spans="1:15" x14ac:dyDescent="0.2">
      <c r="B36" s="304" t="s">
        <v>529</v>
      </c>
      <c r="I36" s="309">
        <v>40113</v>
      </c>
      <c r="K36" s="304" t="s">
        <v>40</v>
      </c>
      <c r="O36" s="304" t="s">
        <v>529</v>
      </c>
    </row>
    <row r="37" spans="1:15" x14ac:dyDescent="0.2">
      <c r="B37" s="304" t="s">
        <v>530</v>
      </c>
      <c r="I37" s="309">
        <v>40114</v>
      </c>
      <c r="K37" s="304" t="s">
        <v>40</v>
      </c>
      <c r="O37" s="304" t="s">
        <v>530</v>
      </c>
    </row>
    <row r="38" spans="1:15" x14ac:dyDescent="0.2">
      <c r="B38" s="304" t="s">
        <v>531</v>
      </c>
      <c r="I38" s="309">
        <v>40114</v>
      </c>
      <c r="K38" s="304" t="s">
        <v>40</v>
      </c>
      <c r="O38" s="304" t="s">
        <v>531</v>
      </c>
    </row>
    <row r="39" spans="1:15" x14ac:dyDescent="0.2">
      <c r="B39" s="304" t="s">
        <v>532</v>
      </c>
      <c r="I39" s="309">
        <v>40114</v>
      </c>
      <c r="K39" s="304" t="s">
        <v>40</v>
      </c>
      <c r="O39" s="304" t="s">
        <v>532</v>
      </c>
    </row>
    <row r="40" spans="1:15" x14ac:dyDescent="0.2">
      <c r="B40" s="304" t="s">
        <v>533</v>
      </c>
      <c r="I40" s="309">
        <v>40114</v>
      </c>
      <c r="K40" s="304" t="s">
        <v>40</v>
      </c>
      <c r="O40" s="304" t="s">
        <v>533</v>
      </c>
    </row>
    <row r="41" spans="1:15" ht="15" x14ac:dyDescent="0.25">
      <c r="B41" s="304" t="s">
        <v>779</v>
      </c>
      <c r="F41" s="302">
        <v>13493.571250000001</v>
      </c>
      <c r="G41" s="302">
        <v>14361.204320000001</v>
      </c>
      <c r="I41" s="309">
        <v>40114</v>
      </c>
      <c r="K41" s="304" t="s">
        <v>40</v>
      </c>
      <c r="L41" s="310" t="s">
        <v>423</v>
      </c>
      <c r="N41" s="304">
        <f>SUM(G41+G46+G47)</f>
        <v>49770.856001</v>
      </c>
      <c r="O41" s="304" t="s">
        <v>662</v>
      </c>
    </row>
    <row r="42" spans="1:15" x14ac:dyDescent="0.2">
      <c r="A42" s="304" t="s">
        <v>196</v>
      </c>
      <c r="B42" s="304" t="s">
        <v>534</v>
      </c>
      <c r="I42" s="309">
        <v>40120</v>
      </c>
      <c r="J42" s="304" t="s">
        <v>414</v>
      </c>
      <c r="K42" s="304" t="s">
        <v>40</v>
      </c>
      <c r="O42" s="304" t="s">
        <v>534</v>
      </c>
    </row>
    <row r="43" spans="1:15" x14ac:dyDescent="0.2">
      <c r="B43" s="304" t="s">
        <v>535</v>
      </c>
      <c r="I43" s="309">
        <v>40120</v>
      </c>
      <c r="K43" s="304" t="s">
        <v>40</v>
      </c>
      <c r="O43" s="304" t="s">
        <v>535</v>
      </c>
    </row>
    <row r="44" spans="1:15" x14ac:dyDescent="0.2">
      <c r="B44" s="304" t="s">
        <v>536</v>
      </c>
      <c r="I44" s="309">
        <v>40120</v>
      </c>
      <c r="K44" s="304" t="s">
        <v>40</v>
      </c>
      <c r="O44" s="304" t="s">
        <v>536</v>
      </c>
    </row>
    <row r="45" spans="1:15" x14ac:dyDescent="0.2">
      <c r="B45" s="304" t="s">
        <v>537</v>
      </c>
      <c r="I45" s="309">
        <v>40120</v>
      </c>
      <c r="K45" s="304" t="s">
        <v>40</v>
      </c>
      <c r="O45" s="304" t="s">
        <v>537</v>
      </c>
    </row>
    <row r="46" spans="1:15" ht="15" x14ac:dyDescent="0.25">
      <c r="B46" s="304" t="s">
        <v>780</v>
      </c>
      <c r="F46" s="302">
        <v>18725.04679</v>
      </c>
      <c r="G46" s="302">
        <v>30298.307400000002</v>
      </c>
      <c r="I46" s="309">
        <v>40120</v>
      </c>
      <c r="K46" s="304" t="s">
        <v>40</v>
      </c>
      <c r="L46" s="310" t="s">
        <v>414</v>
      </c>
      <c r="O46" s="304" t="s">
        <v>557</v>
      </c>
    </row>
    <row r="47" spans="1:15" ht="15" x14ac:dyDescent="0.25">
      <c r="A47" s="304" t="s">
        <v>12</v>
      </c>
      <c r="B47" s="304" t="s">
        <v>781</v>
      </c>
      <c r="C47" s="304" t="s">
        <v>67</v>
      </c>
      <c r="D47" s="304" t="s">
        <v>155</v>
      </c>
      <c r="E47" s="304">
        <v>0</v>
      </c>
      <c r="F47" s="302">
        <v>5906.8412779999999</v>
      </c>
      <c r="G47" s="302">
        <v>5111.3442809999997</v>
      </c>
      <c r="I47" s="309">
        <v>40130</v>
      </c>
      <c r="J47" s="304" t="s">
        <v>197</v>
      </c>
      <c r="K47" s="304" t="s">
        <v>40</v>
      </c>
      <c r="L47" s="310" t="s">
        <v>197</v>
      </c>
      <c r="O47" s="304" t="s">
        <v>538</v>
      </c>
    </row>
    <row r="48" spans="1:15" ht="15" x14ac:dyDescent="0.25">
      <c r="A48" s="304" t="s">
        <v>14</v>
      </c>
      <c r="B48" s="304" t="s">
        <v>782</v>
      </c>
      <c r="C48" s="304" t="s">
        <v>68</v>
      </c>
      <c r="D48" s="304" t="s">
        <v>156</v>
      </c>
      <c r="E48" s="304">
        <v>0</v>
      </c>
      <c r="F48" s="302">
        <v>0</v>
      </c>
      <c r="G48" s="302">
        <v>37747.932059999999</v>
      </c>
      <c r="I48" s="309">
        <v>40210</v>
      </c>
      <c r="J48" s="304" t="s">
        <v>198</v>
      </c>
      <c r="K48" s="304" t="s">
        <v>40</v>
      </c>
      <c r="L48" s="310" t="s">
        <v>198</v>
      </c>
      <c r="M48" s="303" t="s">
        <v>757</v>
      </c>
      <c r="N48" s="303" t="s">
        <v>756</v>
      </c>
      <c r="O48" s="304" t="s">
        <v>558</v>
      </c>
    </row>
    <row r="49" spans="1:15" ht="15" x14ac:dyDescent="0.25">
      <c r="A49" s="304" t="s">
        <v>19</v>
      </c>
      <c r="B49" s="304" t="s">
        <v>651</v>
      </c>
      <c r="C49" s="304" t="s">
        <v>226</v>
      </c>
      <c r="D49" s="304" t="s">
        <v>157</v>
      </c>
      <c r="E49" s="304">
        <v>0</v>
      </c>
      <c r="F49" s="302">
        <v>27673.747780000002</v>
      </c>
      <c r="G49" s="302">
        <v>24340.247960000001</v>
      </c>
      <c r="I49" s="309">
        <v>40451</v>
      </c>
      <c r="J49" s="304" t="s">
        <v>199</v>
      </c>
      <c r="K49" s="304" t="s">
        <v>40</v>
      </c>
      <c r="L49" s="310" t="s">
        <v>199</v>
      </c>
      <c r="O49" s="304" t="s">
        <v>651</v>
      </c>
    </row>
    <row r="50" spans="1:15" ht="15" x14ac:dyDescent="0.25">
      <c r="A50" s="304" t="s">
        <v>201</v>
      </c>
      <c r="B50" s="304" t="s">
        <v>652</v>
      </c>
      <c r="C50" s="304" t="s">
        <v>227</v>
      </c>
      <c r="D50" s="304" t="s">
        <v>229</v>
      </c>
      <c r="E50" s="304">
        <v>0</v>
      </c>
      <c r="F50" s="302">
        <v>27673.747780000002</v>
      </c>
      <c r="G50" s="302">
        <v>24340.247960000001</v>
      </c>
      <c r="I50" s="309">
        <v>40460</v>
      </c>
      <c r="J50" s="304" t="s">
        <v>200</v>
      </c>
      <c r="K50" s="304" t="s">
        <v>40</v>
      </c>
      <c r="L50" s="310" t="s">
        <v>200</v>
      </c>
      <c r="O50" s="304" t="s">
        <v>652</v>
      </c>
    </row>
    <row r="51" spans="1:15" ht="15" x14ac:dyDescent="0.25">
      <c r="A51" s="304" t="s">
        <v>20</v>
      </c>
      <c r="B51" s="304" t="s">
        <v>164</v>
      </c>
      <c r="C51" s="304" t="s">
        <v>228</v>
      </c>
      <c r="D51" s="304" t="s">
        <v>158</v>
      </c>
      <c r="E51" s="304">
        <v>0</v>
      </c>
      <c r="F51" s="302">
        <v>30361.32</v>
      </c>
      <c r="G51" s="302">
        <v>30361.3184</v>
      </c>
      <c r="I51" s="309">
        <v>40430</v>
      </c>
      <c r="J51" s="304" t="s">
        <v>202</v>
      </c>
      <c r="K51" s="304" t="s">
        <v>40</v>
      </c>
      <c r="L51" s="310" t="s">
        <v>202</v>
      </c>
      <c r="M51" s="303" t="s">
        <v>759</v>
      </c>
      <c r="N51" s="303" t="s">
        <v>758</v>
      </c>
      <c r="O51" s="304" t="s">
        <v>164</v>
      </c>
    </row>
    <row r="52" spans="1:15" ht="15" x14ac:dyDescent="0.25">
      <c r="A52" s="304" t="s">
        <v>17</v>
      </c>
      <c r="B52" s="304" t="s">
        <v>417</v>
      </c>
      <c r="C52" s="304" t="s">
        <v>246</v>
      </c>
      <c r="D52" s="304" t="s">
        <v>247</v>
      </c>
      <c r="E52" s="304">
        <v>0</v>
      </c>
      <c r="F52" s="302">
        <v>0</v>
      </c>
      <c r="G52" s="302">
        <v>14979.39292</v>
      </c>
      <c r="I52" s="309">
        <v>40310</v>
      </c>
      <c r="J52" s="304" t="s">
        <v>231</v>
      </c>
      <c r="K52" s="304" t="s">
        <v>40</v>
      </c>
      <c r="L52" s="310" t="s">
        <v>231</v>
      </c>
      <c r="M52" s="303" t="s">
        <v>761</v>
      </c>
      <c r="N52" s="303" t="s">
        <v>760</v>
      </c>
      <c r="O52" s="304" t="s">
        <v>417</v>
      </c>
    </row>
    <row r="53" spans="1:15" ht="15" x14ac:dyDescent="0.25">
      <c r="A53" s="304" t="s">
        <v>69</v>
      </c>
      <c r="B53" s="304" t="s">
        <v>559</v>
      </c>
      <c r="C53" s="304" t="s">
        <v>248</v>
      </c>
      <c r="D53" s="304" t="s">
        <v>245</v>
      </c>
      <c r="E53" s="304">
        <v>0</v>
      </c>
      <c r="F53" s="302">
        <v>0</v>
      </c>
      <c r="G53" s="302">
        <v>14979.39292</v>
      </c>
      <c r="I53" s="309">
        <v>40320</v>
      </c>
      <c r="J53" s="304" t="s">
        <v>232</v>
      </c>
      <c r="K53" s="304" t="s">
        <v>40</v>
      </c>
      <c r="L53" s="310" t="s">
        <v>232</v>
      </c>
      <c r="M53" s="303" t="s">
        <v>763</v>
      </c>
      <c r="N53" s="303" t="s">
        <v>762</v>
      </c>
      <c r="O53" s="304" t="s">
        <v>559</v>
      </c>
    </row>
    <row r="54" spans="1:15" ht="15" x14ac:dyDescent="0.25">
      <c r="B54" s="304" t="s">
        <v>687</v>
      </c>
      <c r="F54" s="302">
        <v>2730</v>
      </c>
      <c r="G54" s="302">
        <v>2730</v>
      </c>
      <c r="I54" s="309">
        <v>60000</v>
      </c>
      <c r="K54" s="304" t="s">
        <v>686</v>
      </c>
      <c r="L54" s="310" t="s">
        <v>694</v>
      </c>
      <c r="M54" s="303" t="s">
        <v>764</v>
      </c>
      <c r="N54" s="303" t="s">
        <v>765</v>
      </c>
      <c r="O54" s="304" t="s">
        <v>687</v>
      </c>
    </row>
    <row r="55" spans="1:15" ht="15" x14ac:dyDescent="0.25">
      <c r="B55" s="304" t="s">
        <v>763</v>
      </c>
      <c r="F55" s="302">
        <v>27930</v>
      </c>
      <c r="G55" s="302">
        <v>27930</v>
      </c>
      <c r="I55" s="309" t="s">
        <v>784</v>
      </c>
      <c r="K55" s="304" t="s">
        <v>40</v>
      </c>
      <c r="L55" s="310" t="s">
        <v>783</v>
      </c>
      <c r="M55" s="303"/>
      <c r="N55" s="303"/>
    </row>
    <row r="56" spans="1:15" x14ac:dyDescent="0.2">
      <c r="B56" s="304" t="s">
        <v>704</v>
      </c>
      <c r="F56" s="313"/>
      <c r="K56" s="304" t="s">
        <v>40</v>
      </c>
      <c r="O56" s="304" t="s">
        <v>704</v>
      </c>
    </row>
    <row r="57" spans="1:15" x14ac:dyDescent="0.2">
      <c r="F57" s="314"/>
    </row>
    <row r="76" spans="2:15" ht="15" x14ac:dyDescent="0.25">
      <c r="B76" s="315" t="s">
        <v>555</v>
      </c>
      <c r="O76" s="315" t="s">
        <v>555</v>
      </c>
    </row>
    <row r="78" spans="2:15" x14ac:dyDescent="0.2">
      <c r="B78" s="304" t="s">
        <v>343</v>
      </c>
      <c r="O78" s="304" t="s">
        <v>343</v>
      </c>
    </row>
    <row r="79" spans="2:15" x14ac:dyDescent="0.2">
      <c r="B79" s="304" t="s">
        <v>300</v>
      </c>
      <c r="O79" s="304" t="s">
        <v>300</v>
      </c>
    </row>
    <row r="80" spans="2:15" x14ac:dyDescent="0.2">
      <c r="B80" s="304" t="s">
        <v>480</v>
      </c>
      <c r="O80" s="304" t="s">
        <v>480</v>
      </c>
    </row>
    <row r="81" spans="2:15" x14ac:dyDescent="0.2">
      <c r="B81" s="304" t="s">
        <v>496</v>
      </c>
      <c r="O81" s="304" t="s">
        <v>496</v>
      </c>
    </row>
    <row r="82" spans="2:15" x14ac:dyDescent="0.2">
      <c r="B82" s="304" t="s">
        <v>344</v>
      </c>
      <c r="O82" s="304" t="s">
        <v>344</v>
      </c>
    </row>
    <row r="83" spans="2:15" x14ac:dyDescent="0.2">
      <c r="B83" s="304" t="s">
        <v>421</v>
      </c>
      <c r="O83" s="304" t="s">
        <v>421</v>
      </c>
    </row>
    <row r="85" spans="2:15" x14ac:dyDescent="0.2">
      <c r="B85" s="304" t="s">
        <v>374</v>
      </c>
      <c r="O85" s="304" t="s">
        <v>374</v>
      </c>
    </row>
  </sheetData>
  <sheetProtection password="B7AA" sheet="1" objects="1" scenarios="1" selectLockedCells="1" selectUnlockedCells="1"/>
  <pageMargins left="0.70866141732283472" right="0.70866141732283472" top="0.74803149606299213" bottom="0.74803149606299213" header="0.31496062992125984" footer="0.31496062992125984"/>
  <pageSetup paperSize="9" scale="77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P26"/>
  <sheetViews>
    <sheetView zoomScaleNormal="100" zoomScaleSheetLayoutView="85" workbookViewId="0">
      <selection activeCell="D36" sqref="D36"/>
    </sheetView>
  </sheetViews>
  <sheetFormatPr defaultRowHeight="15" x14ac:dyDescent="0.25"/>
  <cols>
    <col min="1" max="1" width="9.140625" style="294" customWidth="1"/>
    <col min="2" max="2" width="46.7109375" style="294" bestFit="1" customWidth="1"/>
    <col min="3" max="5" width="9.140625" style="294" customWidth="1"/>
    <col min="6" max="6" width="16.5703125" style="294" bestFit="1" customWidth="1"/>
    <col min="7" max="7" width="15.7109375" style="294" customWidth="1"/>
    <col min="8" max="8" width="12.85546875" style="295" customWidth="1"/>
    <col min="9" max="9" width="12" style="296" customWidth="1"/>
    <col min="10" max="10" width="9.140625" style="294"/>
    <col min="11" max="11" width="12.85546875" style="294" bestFit="1" customWidth="1"/>
    <col min="12" max="16384" width="9.140625" style="294"/>
  </cols>
  <sheetData>
    <row r="1" spans="1:11" x14ac:dyDescent="0.25">
      <c r="F1" s="294" t="s">
        <v>497</v>
      </c>
      <c r="G1" s="294" t="s">
        <v>498</v>
      </c>
      <c r="H1" s="295" t="s">
        <v>659</v>
      </c>
    </row>
    <row r="2" spans="1:11" x14ac:dyDescent="0.25">
      <c r="H2" s="295" t="s">
        <v>657</v>
      </c>
      <c r="I2" s="294" t="s">
        <v>657</v>
      </c>
      <c r="J2" s="294" t="s">
        <v>659</v>
      </c>
    </row>
    <row r="4" spans="1:11" s="297" customFormat="1" x14ac:dyDescent="0.25">
      <c r="A4" s="297" t="s">
        <v>38</v>
      </c>
      <c r="B4" s="297" t="s">
        <v>93</v>
      </c>
      <c r="C4" s="297" t="s">
        <v>94</v>
      </c>
      <c r="D4" s="297" t="s">
        <v>137</v>
      </c>
      <c r="E4" s="297" t="s">
        <v>95</v>
      </c>
      <c r="F4" s="297" t="s">
        <v>160</v>
      </c>
      <c r="G4" s="297" t="s">
        <v>161</v>
      </c>
      <c r="H4" s="298" t="s">
        <v>659</v>
      </c>
      <c r="I4" s="299"/>
      <c r="J4" s="297" t="s">
        <v>95</v>
      </c>
    </row>
    <row r="5" spans="1:11" x14ac:dyDescent="0.25">
      <c r="A5" s="300" t="s">
        <v>21</v>
      </c>
      <c r="B5" s="300" t="s">
        <v>540</v>
      </c>
      <c r="C5" s="300" t="s">
        <v>70</v>
      </c>
      <c r="D5" s="300" t="s">
        <v>118</v>
      </c>
      <c r="E5" s="300">
        <v>0</v>
      </c>
      <c r="F5" s="302">
        <v>5287</v>
      </c>
      <c r="G5" s="302">
        <v>5287</v>
      </c>
      <c r="H5" s="301">
        <v>100</v>
      </c>
      <c r="I5" s="296" t="s">
        <v>208</v>
      </c>
      <c r="J5" s="300" t="s">
        <v>169</v>
      </c>
      <c r="K5" s="300"/>
    </row>
    <row r="6" spans="1:11" x14ac:dyDescent="0.25">
      <c r="A6" s="300" t="s">
        <v>25</v>
      </c>
      <c r="B6" s="300" t="s">
        <v>539</v>
      </c>
      <c r="C6" s="300" t="s">
        <v>71</v>
      </c>
      <c r="D6" s="300" t="s">
        <v>119</v>
      </c>
      <c r="E6" s="300">
        <v>0</v>
      </c>
      <c r="F6" s="302">
        <v>9234.1198800000002</v>
      </c>
      <c r="G6" s="302">
        <v>8261.9693619999998</v>
      </c>
      <c r="H6" s="301">
        <v>210</v>
      </c>
      <c r="I6" s="296" t="s">
        <v>209</v>
      </c>
      <c r="J6" s="300" t="s">
        <v>169</v>
      </c>
      <c r="K6" s="300"/>
    </row>
    <row r="7" spans="1:11" x14ac:dyDescent="0.25">
      <c r="A7" s="300" t="s">
        <v>27</v>
      </c>
      <c r="B7" s="300" t="s">
        <v>541</v>
      </c>
      <c r="C7" s="300" t="s">
        <v>72</v>
      </c>
      <c r="D7" s="300" t="s">
        <v>120</v>
      </c>
      <c r="E7" s="300">
        <v>0</v>
      </c>
      <c r="F7" s="302">
        <v>7678.5980980000004</v>
      </c>
      <c r="G7" s="302">
        <v>6995.9857330000004</v>
      </c>
      <c r="H7" s="301">
        <v>220</v>
      </c>
      <c r="I7" s="296" t="s">
        <v>210</v>
      </c>
      <c r="J7" s="300" t="s">
        <v>169</v>
      </c>
      <c r="K7" s="300"/>
    </row>
    <row r="8" spans="1:11" x14ac:dyDescent="0.25">
      <c r="A8" s="300" t="s">
        <v>29</v>
      </c>
      <c r="B8" s="300" t="s">
        <v>542</v>
      </c>
      <c r="C8" s="300" t="s">
        <v>73</v>
      </c>
      <c r="D8" s="300" t="s">
        <v>121</v>
      </c>
      <c r="E8" s="300">
        <v>0</v>
      </c>
      <c r="F8" s="302">
        <v>5648.5367690000003</v>
      </c>
      <c r="G8" s="302">
        <v>4574.0865279999998</v>
      </c>
      <c r="H8" s="301">
        <v>230</v>
      </c>
      <c r="I8" s="296" t="s">
        <v>211</v>
      </c>
      <c r="J8" s="300" t="s">
        <v>169</v>
      </c>
      <c r="K8" s="300"/>
    </row>
    <row r="9" spans="1:11" x14ac:dyDescent="0.25">
      <c r="A9" s="300" t="s">
        <v>30</v>
      </c>
      <c r="B9" s="300" t="s">
        <v>543</v>
      </c>
      <c r="C9" s="300" t="s">
        <v>74</v>
      </c>
      <c r="D9" s="300" t="s">
        <v>122</v>
      </c>
      <c r="E9" s="300">
        <v>0</v>
      </c>
      <c r="F9" s="302">
        <v>8926.6661679999997</v>
      </c>
      <c r="G9" s="302">
        <v>6336.6680130000004</v>
      </c>
      <c r="H9" s="301">
        <v>240</v>
      </c>
      <c r="I9" s="296" t="s">
        <v>212</v>
      </c>
      <c r="J9" s="300" t="s">
        <v>169</v>
      </c>
      <c r="K9" s="300"/>
    </row>
    <row r="10" spans="1:11" x14ac:dyDescent="0.25">
      <c r="A10" s="300" t="s">
        <v>32</v>
      </c>
      <c r="B10" s="300" t="s">
        <v>544</v>
      </c>
      <c r="C10" s="300" t="s">
        <v>75</v>
      </c>
      <c r="D10" s="300" t="s">
        <v>123</v>
      </c>
      <c r="E10" s="300">
        <v>0</v>
      </c>
      <c r="F10" s="302">
        <v>5752.5312839999997</v>
      </c>
      <c r="G10" s="302">
        <v>5425.7173599999996</v>
      </c>
      <c r="H10" s="301">
        <v>251</v>
      </c>
      <c r="I10" s="296" t="s">
        <v>213</v>
      </c>
      <c r="J10" s="300" t="s">
        <v>169</v>
      </c>
      <c r="K10" s="300"/>
    </row>
    <row r="11" spans="1:11" x14ac:dyDescent="0.25">
      <c r="A11" s="300" t="s">
        <v>35</v>
      </c>
      <c r="B11" s="300" t="s">
        <v>165</v>
      </c>
      <c r="C11" s="300" t="s">
        <v>76</v>
      </c>
      <c r="D11" s="300" t="s">
        <v>124</v>
      </c>
      <c r="E11" s="300">
        <v>0</v>
      </c>
      <c r="F11" s="302">
        <v>16694.745780000001</v>
      </c>
      <c r="G11" s="302">
        <v>14066.87725</v>
      </c>
      <c r="H11" s="301">
        <v>261</v>
      </c>
      <c r="I11" s="296" t="s">
        <v>214</v>
      </c>
      <c r="J11" s="300" t="s">
        <v>169</v>
      </c>
      <c r="K11" s="300"/>
    </row>
    <row r="12" spans="1:11" x14ac:dyDescent="0.25">
      <c r="A12" s="300" t="s">
        <v>37</v>
      </c>
      <c r="B12" s="300" t="s">
        <v>545</v>
      </c>
      <c r="C12" s="300" t="s">
        <v>77</v>
      </c>
      <c r="D12" s="300" t="s">
        <v>125</v>
      </c>
      <c r="E12" s="300">
        <v>0</v>
      </c>
      <c r="F12" s="302">
        <v>6420.0634879999998</v>
      </c>
      <c r="G12" s="302">
        <v>5819.0913190000001</v>
      </c>
      <c r="H12" s="301">
        <v>269</v>
      </c>
      <c r="I12" s="296" t="s">
        <v>215</v>
      </c>
      <c r="J12" s="300" t="s">
        <v>169</v>
      </c>
      <c r="K12" s="300"/>
    </row>
    <row r="13" spans="1:11" x14ac:dyDescent="0.25">
      <c r="A13" s="300" t="s">
        <v>78</v>
      </c>
      <c r="B13" s="300" t="s">
        <v>166</v>
      </c>
      <c r="C13" s="300" t="s">
        <v>79</v>
      </c>
      <c r="D13" s="300" t="s">
        <v>126</v>
      </c>
      <c r="E13" s="300">
        <v>0</v>
      </c>
      <c r="F13" s="302">
        <v>1087</v>
      </c>
      <c r="G13" s="302">
        <v>851</v>
      </c>
      <c r="H13" s="301" t="s">
        <v>741</v>
      </c>
      <c r="I13" s="296" t="s">
        <v>216</v>
      </c>
      <c r="J13" s="300" t="s">
        <v>169</v>
      </c>
      <c r="K13" s="300"/>
    </row>
    <row r="14" spans="1:11" x14ac:dyDescent="0.25">
      <c r="A14" s="300" t="s">
        <v>23</v>
      </c>
      <c r="B14" s="300" t="s">
        <v>551</v>
      </c>
      <c r="C14" s="300" t="s">
        <v>80</v>
      </c>
      <c r="D14" s="300" t="s">
        <v>127</v>
      </c>
      <c r="E14" s="300">
        <v>0</v>
      </c>
      <c r="F14" s="302">
        <v>1087</v>
      </c>
      <c r="G14" s="302">
        <v>851</v>
      </c>
      <c r="H14" s="301">
        <v>319</v>
      </c>
      <c r="I14" s="296" t="s">
        <v>217</v>
      </c>
      <c r="J14" s="300" t="s">
        <v>169</v>
      </c>
      <c r="K14" s="300"/>
    </row>
    <row r="15" spans="1:11" x14ac:dyDescent="0.25">
      <c r="A15" s="300" t="s">
        <v>26</v>
      </c>
      <c r="B15" s="300" t="s">
        <v>167</v>
      </c>
      <c r="C15" s="300" t="s">
        <v>81</v>
      </c>
      <c r="D15" s="300" t="s">
        <v>128</v>
      </c>
      <c r="E15" s="300">
        <v>0</v>
      </c>
      <c r="F15" s="302">
        <v>2118</v>
      </c>
      <c r="G15" s="302">
        <v>1230</v>
      </c>
      <c r="H15" s="301">
        <v>321</v>
      </c>
      <c r="I15" s="296" t="s">
        <v>218</v>
      </c>
      <c r="J15" s="300" t="s">
        <v>169</v>
      </c>
      <c r="K15" s="300"/>
    </row>
    <row r="16" spans="1:11" x14ac:dyDescent="0.25">
      <c r="A16" s="300" t="s">
        <v>28</v>
      </c>
      <c r="B16" s="300" t="s">
        <v>552</v>
      </c>
      <c r="C16" s="300" t="s">
        <v>82</v>
      </c>
      <c r="D16" s="300" t="s">
        <v>129</v>
      </c>
      <c r="E16" s="300">
        <v>0</v>
      </c>
      <c r="F16" s="302">
        <v>2118</v>
      </c>
      <c r="G16" s="302">
        <v>1230</v>
      </c>
      <c r="H16" s="301">
        <v>329</v>
      </c>
      <c r="I16" s="296" t="s">
        <v>219</v>
      </c>
      <c r="J16" s="300" t="s">
        <v>169</v>
      </c>
      <c r="K16" s="300"/>
    </row>
    <row r="17" spans="1:16" x14ac:dyDescent="0.25">
      <c r="A17" s="300" t="s">
        <v>31</v>
      </c>
      <c r="B17" s="300" t="s">
        <v>546</v>
      </c>
      <c r="C17" s="300" t="s">
        <v>83</v>
      </c>
      <c r="D17" s="300" t="s">
        <v>130</v>
      </c>
      <c r="E17" s="300">
        <v>0</v>
      </c>
      <c r="F17" s="302">
        <v>361</v>
      </c>
      <c r="G17" s="302">
        <v>434</v>
      </c>
      <c r="H17" s="301">
        <v>410</v>
      </c>
      <c r="I17" s="296" t="s">
        <v>220</v>
      </c>
      <c r="J17" s="300" t="s">
        <v>169</v>
      </c>
      <c r="K17" s="354"/>
      <c r="L17" s="354"/>
      <c r="M17" s="354"/>
      <c r="N17" s="354"/>
      <c r="O17" s="354"/>
      <c r="P17" s="354"/>
    </row>
    <row r="18" spans="1:16" x14ac:dyDescent="0.25">
      <c r="A18" s="300" t="s">
        <v>33</v>
      </c>
      <c r="B18" s="300" t="s">
        <v>547</v>
      </c>
      <c r="C18" s="300" t="s">
        <v>84</v>
      </c>
      <c r="D18" s="300" t="s">
        <v>131</v>
      </c>
      <c r="E18" s="300">
        <v>0</v>
      </c>
      <c r="F18" s="302">
        <v>1659</v>
      </c>
      <c r="G18" s="302">
        <v>1651</v>
      </c>
      <c r="H18" s="301">
        <v>420</v>
      </c>
      <c r="I18" s="296" t="s">
        <v>221</v>
      </c>
      <c r="J18" s="300" t="s">
        <v>169</v>
      </c>
      <c r="K18" s="300"/>
    </row>
    <row r="19" spans="1:16" x14ac:dyDescent="0.25">
      <c r="A19" s="300" t="s">
        <v>36</v>
      </c>
      <c r="B19" s="300" t="s">
        <v>548</v>
      </c>
      <c r="C19" s="300" t="s">
        <v>85</v>
      </c>
      <c r="D19" s="300" t="s">
        <v>132</v>
      </c>
      <c r="E19" s="300">
        <v>0</v>
      </c>
      <c r="F19" s="303">
        <v>0</v>
      </c>
      <c r="G19" s="303">
        <v>0</v>
      </c>
      <c r="H19" s="301">
        <v>491</v>
      </c>
      <c r="I19" s="296" t="s">
        <v>742</v>
      </c>
      <c r="J19" s="300" t="s">
        <v>169</v>
      </c>
      <c r="K19" s="300" t="s">
        <v>745</v>
      </c>
    </row>
    <row r="20" spans="1:16" x14ac:dyDescent="0.25">
      <c r="A20" s="300" t="s">
        <v>36</v>
      </c>
      <c r="B20" s="300" t="s">
        <v>767</v>
      </c>
      <c r="C20" s="300" t="s">
        <v>85</v>
      </c>
      <c r="D20" s="300" t="s">
        <v>132</v>
      </c>
      <c r="E20" s="300">
        <v>0</v>
      </c>
      <c r="F20" s="302">
        <v>2329.2935389999998</v>
      </c>
      <c r="G20" s="302">
        <v>2526</v>
      </c>
      <c r="H20" s="301">
        <v>499</v>
      </c>
      <c r="I20" s="296" t="s">
        <v>743</v>
      </c>
      <c r="J20" s="300" t="s">
        <v>169</v>
      </c>
      <c r="K20" s="355"/>
      <c r="L20" s="355"/>
      <c r="M20" s="355"/>
      <c r="N20" s="355"/>
      <c r="O20" s="355"/>
      <c r="P20" s="355"/>
    </row>
    <row r="21" spans="1:16" x14ac:dyDescent="0.25">
      <c r="A21" s="300" t="s">
        <v>22</v>
      </c>
      <c r="B21" s="300" t="s">
        <v>86</v>
      </c>
      <c r="C21" s="300" t="s">
        <v>87</v>
      </c>
      <c r="D21" s="300" t="s">
        <v>133</v>
      </c>
      <c r="E21" s="300">
        <v>0</v>
      </c>
      <c r="F21" s="302">
        <v>3346</v>
      </c>
      <c r="G21" s="302">
        <v>5020</v>
      </c>
      <c r="H21" s="301">
        <v>510</v>
      </c>
      <c r="I21" s="296" t="s">
        <v>222</v>
      </c>
      <c r="J21" s="300" t="s">
        <v>168</v>
      </c>
      <c r="K21" s="300"/>
    </row>
    <row r="22" spans="1:16" x14ac:dyDescent="0.25">
      <c r="A22" s="300" t="s">
        <v>24</v>
      </c>
      <c r="B22" s="300" t="s">
        <v>88</v>
      </c>
      <c r="C22" s="300" t="s">
        <v>89</v>
      </c>
      <c r="D22" s="300" t="s">
        <v>134</v>
      </c>
      <c r="E22" s="300">
        <v>0</v>
      </c>
      <c r="F22" s="302">
        <v>12321</v>
      </c>
      <c r="G22" s="302">
        <v>14005</v>
      </c>
      <c r="H22" s="301">
        <v>520</v>
      </c>
      <c r="I22" s="296" t="s">
        <v>223</v>
      </c>
      <c r="J22" s="300" t="s">
        <v>168</v>
      </c>
      <c r="K22" s="300"/>
    </row>
    <row r="23" spans="1:16" x14ac:dyDescent="0.25">
      <c r="A23" s="300" t="s">
        <v>90</v>
      </c>
      <c r="B23" s="300" t="s">
        <v>550</v>
      </c>
      <c r="C23" s="300" t="s">
        <v>91</v>
      </c>
      <c r="D23" s="300" t="s">
        <v>135</v>
      </c>
      <c r="E23" s="300">
        <v>0</v>
      </c>
      <c r="F23" s="302">
        <v>3921</v>
      </c>
      <c r="G23" s="302">
        <v>4676</v>
      </c>
      <c r="H23" s="301">
        <v>530</v>
      </c>
      <c r="I23" s="296" t="s">
        <v>224</v>
      </c>
      <c r="J23" s="300" t="s">
        <v>168</v>
      </c>
      <c r="K23" s="300"/>
    </row>
    <row r="24" spans="1:16" x14ac:dyDescent="0.25">
      <c r="A24" s="294" t="s">
        <v>34</v>
      </c>
      <c r="B24" s="294" t="s">
        <v>418</v>
      </c>
      <c r="C24" s="294" t="s">
        <v>92</v>
      </c>
      <c r="D24" s="294" t="s">
        <v>136</v>
      </c>
      <c r="E24" s="294">
        <v>0</v>
      </c>
      <c r="F24" s="302">
        <v>511</v>
      </c>
      <c r="G24" s="302">
        <v>557</v>
      </c>
      <c r="H24" s="295" t="s">
        <v>744</v>
      </c>
      <c r="I24" s="296" t="s">
        <v>225</v>
      </c>
      <c r="J24" s="294" t="s">
        <v>170</v>
      </c>
    </row>
    <row r="25" spans="1:16" x14ac:dyDescent="0.25">
      <c r="B25" s="294" t="s">
        <v>685</v>
      </c>
      <c r="F25" s="302">
        <v>33</v>
      </c>
      <c r="G25" s="302">
        <v>33</v>
      </c>
      <c r="I25" s="296" t="s">
        <v>693</v>
      </c>
      <c r="J25" s="294" t="s">
        <v>686</v>
      </c>
      <c r="K25" s="300" t="s">
        <v>766</v>
      </c>
    </row>
    <row r="26" spans="1:16" x14ac:dyDescent="0.25">
      <c r="B26" s="294" t="s">
        <v>702</v>
      </c>
      <c r="C26" s="294" t="s">
        <v>691</v>
      </c>
      <c r="F26" s="302">
        <v>158</v>
      </c>
      <c r="G26" s="302">
        <v>158</v>
      </c>
      <c r="H26" s="295">
        <v>610</v>
      </c>
      <c r="I26" s="296" t="s">
        <v>692</v>
      </c>
      <c r="J26" s="294" t="s">
        <v>169</v>
      </c>
    </row>
  </sheetData>
  <sheetProtection password="B7AA" sheet="1" objects="1" scenarios="1" selectLockedCells="1" selectUnlockedCells="1"/>
  <mergeCells count="2">
    <mergeCell ref="K17:P17"/>
    <mergeCell ref="K20:P20"/>
  </mergeCells>
  <pageMargins left="0.35433070866141736" right="0.35433070866141736" top="0.98425196850393704" bottom="0.98425196850393704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6"/>
  <sheetViews>
    <sheetView workbookViewId="0">
      <selection activeCell="E5" sqref="E5"/>
    </sheetView>
  </sheetViews>
  <sheetFormatPr defaultRowHeight="12.75" x14ac:dyDescent="0.2"/>
  <cols>
    <col min="1" max="1" width="9.140625" style="269"/>
    <col min="2" max="2" width="46.42578125" bestFit="1" customWidth="1"/>
  </cols>
  <sheetData>
    <row r="1" spans="1:2" ht="25.5" customHeight="1" x14ac:dyDescent="0.2">
      <c r="A1" s="271" t="s">
        <v>773</v>
      </c>
      <c r="B1" s="271" t="s">
        <v>772</v>
      </c>
    </row>
    <row r="2" spans="1:2" ht="18" customHeight="1" x14ac:dyDescent="0.2">
      <c r="A2" s="272">
        <v>1</v>
      </c>
      <c r="B2" s="273" t="s">
        <v>718</v>
      </c>
    </row>
    <row r="3" spans="1:2" s="268" customFormat="1" ht="18" customHeight="1" x14ac:dyDescent="0.2">
      <c r="A3" s="274">
        <v>2</v>
      </c>
      <c r="B3" s="273" t="s">
        <v>719</v>
      </c>
    </row>
    <row r="4" spans="1:2" s="268" customFormat="1" ht="18" customHeight="1" x14ac:dyDescent="0.2">
      <c r="A4" s="274">
        <v>3</v>
      </c>
      <c r="B4" s="273" t="s">
        <v>720</v>
      </c>
    </row>
    <row r="5" spans="1:2" s="268" customFormat="1" ht="18" customHeight="1" x14ac:dyDescent="0.2">
      <c r="A5" s="272">
        <v>4</v>
      </c>
      <c r="B5" s="273" t="s">
        <v>721</v>
      </c>
    </row>
    <row r="6" spans="1:2" s="268" customFormat="1" ht="18" customHeight="1" x14ac:dyDescent="0.2">
      <c r="A6" s="274">
        <v>5</v>
      </c>
      <c r="B6" s="273" t="s">
        <v>722</v>
      </c>
    </row>
    <row r="7" spans="1:2" s="268" customFormat="1" ht="18" customHeight="1" x14ac:dyDescent="0.2">
      <c r="A7" s="274">
        <v>6</v>
      </c>
      <c r="B7" s="273" t="s">
        <v>723</v>
      </c>
    </row>
    <row r="8" spans="1:2" s="268" customFormat="1" ht="18" customHeight="1" x14ac:dyDescent="0.2">
      <c r="A8" s="272">
        <v>7</v>
      </c>
      <c r="B8" s="273" t="s">
        <v>724</v>
      </c>
    </row>
    <row r="9" spans="1:2" s="268" customFormat="1" ht="18" customHeight="1" x14ac:dyDescent="0.2">
      <c r="A9" s="274">
        <v>8</v>
      </c>
      <c r="B9" s="273" t="s">
        <v>733</v>
      </c>
    </row>
    <row r="10" spans="1:2" s="268" customFormat="1" ht="18" customHeight="1" x14ac:dyDescent="0.2">
      <c r="A10" s="274">
        <v>9</v>
      </c>
      <c r="B10" s="273" t="s">
        <v>725</v>
      </c>
    </row>
    <row r="11" spans="1:2" s="268" customFormat="1" ht="18" customHeight="1" x14ac:dyDescent="0.2">
      <c r="A11" s="272">
        <v>10</v>
      </c>
      <c r="B11" s="273" t="s">
        <v>726</v>
      </c>
    </row>
    <row r="12" spans="1:2" s="268" customFormat="1" ht="18" customHeight="1" x14ac:dyDescent="0.2">
      <c r="A12" s="274">
        <v>11</v>
      </c>
      <c r="B12" s="273" t="s">
        <v>734</v>
      </c>
    </row>
    <row r="13" spans="1:2" s="268" customFormat="1" ht="18" customHeight="1" x14ac:dyDescent="0.2">
      <c r="A13" s="274">
        <v>12</v>
      </c>
      <c r="B13" s="273" t="s">
        <v>735</v>
      </c>
    </row>
    <row r="14" spans="1:2" s="268" customFormat="1" ht="18" customHeight="1" x14ac:dyDescent="0.2">
      <c r="A14" s="272">
        <v>13</v>
      </c>
      <c r="B14" s="273" t="s">
        <v>727</v>
      </c>
    </row>
    <row r="15" spans="1:2" s="268" customFormat="1" ht="18" customHeight="1" x14ac:dyDescent="0.2">
      <c r="A15" s="270"/>
    </row>
    <row r="16" spans="1:2" x14ac:dyDescent="0.2">
      <c r="B16" s="26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260</vt:i4>
      </vt:variant>
    </vt:vector>
  </HeadingPairs>
  <TitlesOfParts>
    <vt:vector size="261" baseType="lpstr">
      <vt:lpstr>KALKULATOR</vt:lpstr>
      <vt:lpstr>_1T</vt:lpstr>
      <vt:lpstr>_2.01.01.01</vt:lpstr>
      <vt:lpstr>_2.01.01.03</vt:lpstr>
      <vt:lpstr>_2.01.01.04</vt:lpstr>
      <vt:lpstr>_2.01.01.05</vt:lpstr>
      <vt:lpstr>_2.01.01.06</vt:lpstr>
      <vt:lpstr>_2.01.01.99</vt:lpstr>
      <vt:lpstr>_2.01.02</vt:lpstr>
      <vt:lpstr>_2.01.02.01</vt:lpstr>
      <vt:lpstr>_2.01.03</vt:lpstr>
      <vt:lpstr>_2.01.04</vt:lpstr>
      <vt:lpstr>_2.01.05</vt:lpstr>
      <vt:lpstr>_2.01.06.01</vt:lpstr>
      <vt:lpstr>_2.01.06.04</vt:lpstr>
      <vt:lpstr>_2.01.06.05</vt:lpstr>
      <vt:lpstr>_2.01.06.06</vt:lpstr>
      <vt:lpstr>_2.01.06.08</vt:lpstr>
      <vt:lpstr>_2.01.06.12</vt:lpstr>
      <vt:lpstr>_2.01.06.99</vt:lpstr>
      <vt:lpstr>_2.01.07.01.01</vt:lpstr>
      <vt:lpstr>_2.01.07.01.02</vt:lpstr>
      <vt:lpstr>_2.01.07.02</vt:lpstr>
      <vt:lpstr>_2.01.08.01</vt:lpstr>
      <vt:lpstr>_2.01.08.02</vt:lpstr>
      <vt:lpstr>_2.01.09</vt:lpstr>
      <vt:lpstr>_2.01.09.02</vt:lpstr>
      <vt:lpstr>_2.01.09.02.01</vt:lpstr>
      <vt:lpstr>_2.01.09.02.02</vt:lpstr>
      <vt:lpstr>_2.01.09.02.99</vt:lpstr>
      <vt:lpstr>_2.01.10</vt:lpstr>
      <vt:lpstr>_2.03.01</vt:lpstr>
      <vt:lpstr>_2.04.01</vt:lpstr>
      <vt:lpstr>_2.04.01.01</vt:lpstr>
      <vt:lpstr>_2.04.01.01.01</vt:lpstr>
      <vt:lpstr>_2.04.01.01.01_A</vt:lpstr>
      <vt:lpstr>_2.04.01.01.01_B</vt:lpstr>
      <vt:lpstr>_2.04.01.02</vt:lpstr>
      <vt:lpstr>_2.04.01.03</vt:lpstr>
      <vt:lpstr>_2.04.02</vt:lpstr>
      <vt:lpstr>_2.04.03</vt:lpstr>
      <vt:lpstr>_2.04.03.01</vt:lpstr>
      <vt:lpstr>_2.04.03.02</vt:lpstr>
      <vt:lpstr>_2.04.04</vt:lpstr>
      <vt:lpstr>_2.04.04.01</vt:lpstr>
      <vt:lpstr>_2.04.04.02</vt:lpstr>
      <vt:lpstr>_2.04.04.03</vt:lpstr>
      <vt:lpstr>_2.04.05</vt:lpstr>
      <vt:lpstr>_2.04.06.01</vt:lpstr>
      <vt:lpstr>_2.04.06.01.</vt:lpstr>
      <vt:lpstr>_2.06.01</vt:lpstr>
      <vt:lpstr>_2T</vt:lpstr>
      <vt:lpstr>_3.01</vt:lpstr>
      <vt:lpstr>_3.02.01</vt:lpstr>
      <vt:lpstr>_3.02.02</vt:lpstr>
      <vt:lpstr>_3.02.03</vt:lpstr>
      <vt:lpstr>_3.02.04</vt:lpstr>
      <vt:lpstr>_3.02.05</vt:lpstr>
      <vt:lpstr>_3.02.06</vt:lpstr>
      <vt:lpstr>_3.02.99</vt:lpstr>
      <vt:lpstr>_3.03.01</vt:lpstr>
      <vt:lpstr>_3.03.01.01</vt:lpstr>
      <vt:lpstr>_3.03.01.99</vt:lpstr>
      <vt:lpstr>_3.03.02</vt:lpstr>
      <vt:lpstr>_3.03.02.01</vt:lpstr>
      <vt:lpstr>_3.03.02.99</vt:lpstr>
      <vt:lpstr>_3.04.01</vt:lpstr>
      <vt:lpstr>_3.04.02</vt:lpstr>
      <vt:lpstr>_3.04.99</vt:lpstr>
      <vt:lpstr>_3.04.99_A</vt:lpstr>
      <vt:lpstr>_3.04.99_B</vt:lpstr>
      <vt:lpstr>_3.05.01</vt:lpstr>
      <vt:lpstr>_3.05.02</vt:lpstr>
      <vt:lpstr>_3.05.03</vt:lpstr>
      <vt:lpstr>_3.06</vt:lpstr>
      <vt:lpstr>_3.07</vt:lpstr>
      <vt:lpstr>_3.08</vt:lpstr>
      <vt:lpstr>_ES14_NAME</vt:lpstr>
      <vt:lpstr>_ES5_1</vt:lpstr>
      <vt:lpstr>_ES5_2</vt:lpstr>
      <vt:lpstr>_ES5_3</vt:lpstr>
      <vt:lpstr>_ES5_4</vt:lpstr>
      <vt:lpstr>_ES5_5</vt:lpstr>
      <vt:lpstr>_ES5_NAME</vt:lpstr>
      <vt:lpstr>_FCP1</vt:lpstr>
      <vt:lpstr>_FCP4</vt:lpstr>
      <vt:lpstr>_GL</vt:lpstr>
      <vt:lpstr>_P1</vt:lpstr>
      <vt:lpstr>_P15</vt:lpstr>
      <vt:lpstr>_P151</vt:lpstr>
      <vt:lpstr>_P16</vt:lpstr>
      <vt:lpstr>_P17</vt:lpstr>
      <vt:lpstr>_P2</vt:lpstr>
      <vt:lpstr>_P231</vt:lpstr>
      <vt:lpstr>_P3</vt:lpstr>
      <vt:lpstr>_P4</vt:lpstr>
      <vt:lpstr>_P45</vt:lpstr>
      <vt:lpstr>_P46</vt:lpstr>
      <vt:lpstr>_P5</vt:lpstr>
      <vt:lpstr>_P51</vt:lpstr>
      <vt:lpstr>_P52</vt:lpstr>
      <vt:lpstr>_PN1</vt:lpstr>
      <vt:lpstr>_PN1_10</vt:lpstr>
      <vt:lpstr>_PN1_20</vt:lpstr>
      <vt:lpstr>_PN1_30</vt:lpstr>
      <vt:lpstr>_PN1_40</vt:lpstr>
      <vt:lpstr>_PN1_50</vt:lpstr>
      <vt:lpstr>_PN1_60</vt:lpstr>
      <vt:lpstr>_PN1_70</vt:lpstr>
      <vt:lpstr>_PN1_90</vt:lpstr>
      <vt:lpstr>_PN2</vt:lpstr>
      <vt:lpstr>_PN3_161</vt:lpstr>
      <vt:lpstr>_PN3_162</vt:lpstr>
      <vt:lpstr>_PN3_163</vt:lpstr>
      <vt:lpstr>_PN3_164</vt:lpstr>
      <vt:lpstr>_PN3_165</vt:lpstr>
      <vt:lpstr>_PN3_166</vt:lpstr>
      <vt:lpstr>_PN3_211</vt:lpstr>
      <vt:lpstr>_PN3_212</vt:lpstr>
      <vt:lpstr>_PN3_213</vt:lpstr>
      <vt:lpstr>_PN3_221</vt:lpstr>
      <vt:lpstr>_PN3_222</vt:lpstr>
      <vt:lpstr>_PN3_223</vt:lpstr>
      <vt:lpstr>_PN3_231</vt:lpstr>
      <vt:lpstr>_PN3_232</vt:lpstr>
      <vt:lpstr>_PN3_233</vt:lpstr>
      <vt:lpstr>_PN3_351</vt:lpstr>
      <vt:lpstr>_PN3_352</vt:lpstr>
      <vt:lpstr>_PN3_353</vt:lpstr>
      <vt:lpstr>_PN3_354</vt:lpstr>
      <vt:lpstr>_PN3_361</vt:lpstr>
      <vt:lpstr>_PN3_362</vt:lpstr>
      <vt:lpstr>_PN3_363</vt:lpstr>
      <vt:lpstr>_PN3_364</vt:lpstr>
      <vt:lpstr>_PN3_365</vt:lpstr>
      <vt:lpstr>_PN3_370</vt:lpstr>
      <vt:lpstr>_PN3_380</vt:lpstr>
      <vt:lpstr>_PN3_450</vt:lpstr>
      <vt:lpstr>_PN3_460</vt:lpstr>
      <vt:lpstr>_PN3_470</vt:lpstr>
      <vt:lpstr>_PN3_481</vt:lpstr>
      <vt:lpstr>_PN3_482</vt:lpstr>
      <vt:lpstr>_PN3_483</vt:lpstr>
      <vt:lpstr>_PN3_484</vt:lpstr>
      <vt:lpstr>_PN3_511</vt:lpstr>
      <vt:lpstr>_PN3_512</vt:lpstr>
      <vt:lpstr>_PN3_513</vt:lpstr>
      <vt:lpstr>_PN3_521</vt:lpstr>
      <vt:lpstr>_PN3_522</vt:lpstr>
      <vt:lpstr>_PN3_523</vt:lpstr>
      <vt:lpstr>_PN3_530</vt:lpstr>
      <vt:lpstr>_PN3_611</vt:lpstr>
      <vt:lpstr>_PN3_612</vt:lpstr>
      <vt:lpstr>_PN3_613</vt:lpstr>
      <vt:lpstr>_PN3_614</vt:lpstr>
      <vt:lpstr>_PN3_615</vt:lpstr>
      <vt:lpstr>_PN3_616</vt:lpstr>
      <vt:lpstr>_PN3_731</vt:lpstr>
      <vt:lpstr>_PN3_732</vt:lpstr>
      <vt:lpstr>_PN3_741</vt:lpstr>
      <vt:lpstr>_PN3_742</vt:lpstr>
      <vt:lpstr>_PN3_831</vt:lpstr>
      <vt:lpstr>_PN3_832</vt:lpstr>
      <vt:lpstr>_PN3_833</vt:lpstr>
      <vt:lpstr>_PN3_834</vt:lpstr>
      <vt:lpstr>_PN3_841</vt:lpstr>
      <vt:lpstr>_PN3_842</vt:lpstr>
      <vt:lpstr>_PN3_843</vt:lpstr>
      <vt:lpstr>_PN3_844</vt:lpstr>
      <vt:lpstr>_PNF13</vt:lpstr>
      <vt:lpstr>_TYPE13</vt:lpstr>
      <vt:lpstr>_TYPENAME13</vt:lpstr>
      <vt:lpstr>CT_Farm_PN1</vt:lpstr>
      <vt:lpstr>CT_Farm_PN2</vt:lpstr>
      <vt:lpstr>CT_Farm_PN3</vt:lpstr>
      <vt:lpstr>d</vt:lpstr>
      <vt:lpstr>ES_14</vt:lpstr>
      <vt:lpstr>ES_5</vt:lpstr>
      <vt:lpstr>ES_6</vt:lpstr>
      <vt:lpstr>ES_9</vt:lpstr>
      <vt:lpstr>ES14_1</vt:lpstr>
      <vt:lpstr>ES14_10</vt:lpstr>
      <vt:lpstr>ES14_11</vt:lpstr>
      <vt:lpstr>ES14_12</vt:lpstr>
      <vt:lpstr>ES14_13</vt:lpstr>
      <vt:lpstr>ES14_14</vt:lpstr>
      <vt:lpstr>ES14_2</vt:lpstr>
      <vt:lpstr>ES14_3</vt:lpstr>
      <vt:lpstr>ES14_4</vt:lpstr>
      <vt:lpstr>ES14_5</vt:lpstr>
      <vt:lpstr>ES14_6</vt:lpstr>
      <vt:lpstr>ES14_7</vt:lpstr>
      <vt:lpstr>ES14_8</vt:lpstr>
      <vt:lpstr>ES14_9</vt:lpstr>
      <vt:lpstr>ES6_1</vt:lpstr>
      <vt:lpstr>ES6_2</vt:lpstr>
      <vt:lpstr>ES6_3</vt:lpstr>
      <vt:lpstr>ES6_4</vt:lpstr>
      <vt:lpstr>ES6_5</vt:lpstr>
      <vt:lpstr>ES6_6</vt:lpstr>
      <vt:lpstr>ES9_1</vt:lpstr>
      <vt:lpstr>ES9_2</vt:lpstr>
      <vt:lpstr>ES9_3</vt:lpstr>
      <vt:lpstr>ES9_4</vt:lpstr>
      <vt:lpstr>ES9_5</vt:lpstr>
      <vt:lpstr>ES9_6</vt:lpstr>
      <vt:lpstr>ES9_7</vt:lpstr>
      <vt:lpstr>ES9_8</vt:lpstr>
      <vt:lpstr>ES9_9</vt:lpstr>
      <vt:lpstr>grla</vt:lpstr>
      <vt:lpstr>hektari</vt:lpstr>
      <vt:lpstr>kljun</vt:lpstr>
      <vt:lpstr>kw</vt:lpstr>
      <vt:lpstr>Langue</vt:lpstr>
      <vt:lpstr>LT_Farm_PN1</vt:lpstr>
      <vt:lpstr>LT_Farm_PN2</vt:lpstr>
      <vt:lpstr>LT_Farm_PN3</vt:lpstr>
      <vt:lpstr>pcele</vt:lpstr>
      <vt:lpstr>PN1_1</vt:lpstr>
      <vt:lpstr>PN1_2</vt:lpstr>
      <vt:lpstr>PN1_3</vt:lpstr>
      <vt:lpstr>PN1_4</vt:lpstr>
      <vt:lpstr>PN1_5</vt:lpstr>
      <vt:lpstr>PN1_6</vt:lpstr>
      <vt:lpstr>PN1_7</vt:lpstr>
      <vt:lpstr>PN1_8</vt:lpstr>
      <vt:lpstr>PN1_9</vt:lpstr>
      <vt:lpstr>PN2_15</vt:lpstr>
      <vt:lpstr>PN2_16</vt:lpstr>
      <vt:lpstr>PN2_21</vt:lpstr>
      <vt:lpstr>PN2_22</vt:lpstr>
      <vt:lpstr>PN2_23</vt:lpstr>
      <vt:lpstr>PN2_35</vt:lpstr>
      <vt:lpstr>PN2_36</vt:lpstr>
      <vt:lpstr>PN2_37</vt:lpstr>
      <vt:lpstr>PN2_38</vt:lpstr>
      <vt:lpstr>PN2_45</vt:lpstr>
      <vt:lpstr>PN2_46</vt:lpstr>
      <vt:lpstr>PN2_47</vt:lpstr>
      <vt:lpstr>PN2_48</vt:lpstr>
      <vt:lpstr>PN2_51</vt:lpstr>
      <vt:lpstr>PN2_52</vt:lpstr>
      <vt:lpstr>PN2_53</vt:lpstr>
      <vt:lpstr>PN2_61</vt:lpstr>
      <vt:lpstr>PN2_73</vt:lpstr>
      <vt:lpstr>PN2_74</vt:lpstr>
      <vt:lpstr>PN2_83</vt:lpstr>
      <vt:lpstr>PN2_84</vt:lpstr>
      <vt:lpstr>PN2_90</vt:lpstr>
      <vt:lpstr>PN3_151</vt:lpstr>
      <vt:lpstr>PN3_152</vt:lpstr>
      <vt:lpstr>PN3_153</vt:lpstr>
      <vt:lpstr>PN3_900</vt:lpstr>
      <vt:lpstr>CoefVeg!Podrucje_ispisa</vt:lpstr>
      <vt:lpstr>IZRAČUN!Podrucje_ispisa</vt:lpstr>
      <vt:lpstr>KALKULATOR!Podrucje_ispisa</vt:lpstr>
      <vt:lpstr>Regija</vt:lpstr>
      <vt:lpstr>tip</vt:lpstr>
      <vt:lpstr>traktor</vt:lpstr>
      <vt:lpstr>TSO</vt:lpstr>
      <vt:lpstr>tx</vt:lpstr>
    </vt:vector>
  </TitlesOfParts>
  <Company>Savjetovadna sluzba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FADN kalkulator SO2010</dc:title>
  <dc:creator>kristijan</dc:creator>
  <cp:lastModifiedBy>Anica Lenart</cp:lastModifiedBy>
  <cp:lastPrinted>2018-02-12T13:37:52Z</cp:lastPrinted>
  <dcterms:created xsi:type="dcterms:W3CDTF">1998-07-15T15:03:10Z</dcterms:created>
  <dcterms:modified xsi:type="dcterms:W3CDTF">2020-10-13T04:43:13Z</dcterms:modified>
</cp:coreProperties>
</file>