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Zajedničke mape\ZAPISNICI i ODLUKE\SKUPŠTINA 2025\"/>
    </mc:Choice>
  </mc:AlternateContent>
  <xr:revisionPtr revIDLastSave="0" documentId="13_ncr:1_{3AE61305-D8E6-4605-B6E4-5FFE17003B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PRIHODA I RASHODA" sheetId="1" r:id="rId1"/>
    <sheet name="PLAN ZADUŽIVANJA I OTPLATA" sheetId="2" r:id="rId2"/>
    <sheet name="bilješke" sheetId="3" r:id="rId3"/>
  </sheets>
  <definedNames>
    <definedName name="_xlnm.Print_Area" localSheetId="2">bilješke!$A$1:$R$17</definedName>
    <definedName name="_xlnm.Print_Area" localSheetId="0">'PLAN PRIHODA I RASHODA'!$A$1:$O$101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58" i="1"/>
  <c r="P57" i="1" s="1"/>
  <c r="P41" i="1"/>
  <c r="P61" i="1"/>
  <c r="P47" i="1"/>
  <c r="P36" i="1" l="1"/>
  <c r="P35" i="1"/>
  <c r="P33" i="1"/>
  <c r="P28" i="1" s="1"/>
  <c r="P27" i="1" s="1"/>
  <c r="P88" i="1"/>
  <c r="P12" i="1"/>
  <c r="P11" i="1" s="1"/>
  <c r="P20" i="1" s="1"/>
  <c r="P24" i="1" s="1"/>
  <c r="P85" i="1" s="1"/>
  <c r="O33" i="1"/>
  <c r="O48" i="1"/>
  <c r="O15" i="1"/>
  <c r="O12" i="1" s="1"/>
  <c r="O11" i="1" s="1"/>
  <c r="O20" i="1" s="1"/>
  <c r="O24" i="1" s="1"/>
  <c r="O85" i="1" s="1"/>
  <c r="O88" i="1"/>
  <c r="O61" i="1"/>
  <c r="O57" i="1"/>
  <c r="O53" i="1"/>
  <c r="O41" i="1"/>
  <c r="O32" i="1"/>
  <c r="O18" i="1"/>
  <c r="N33" i="1"/>
  <c r="P72" i="1" l="1"/>
  <c r="P84" i="1" s="1"/>
  <c r="P86" i="1" s="1"/>
  <c r="P89" i="1" s="1"/>
  <c r="O28" i="1"/>
  <c r="O27" i="1" s="1"/>
  <c r="O47" i="1"/>
  <c r="O36" i="1" s="1"/>
  <c r="N91" i="1"/>
  <c r="N90" i="1" s="1"/>
  <c r="N88" i="1"/>
  <c r="N41" i="1"/>
  <c r="N57" i="1"/>
  <c r="N61" i="1"/>
  <c r="N51" i="1"/>
  <c r="N53" i="1"/>
  <c r="N48" i="1"/>
  <c r="N38" i="1"/>
  <c r="N37" i="1" s="1"/>
  <c r="N32" i="1"/>
  <c r="N28" i="1" s="1"/>
  <c r="N27" i="1" s="1"/>
  <c r="P87" i="1" l="1"/>
  <c r="O72" i="1"/>
  <c r="O84" i="1" s="1"/>
  <c r="O86" i="1" s="1"/>
  <c r="O87" i="1" s="1"/>
  <c r="O89" i="1" s="1"/>
  <c r="N47" i="1"/>
  <c r="N36" i="1" s="1"/>
  <c r="N72" i="1" s="1"/>
  <c r="N84" i="1" s="1"/>
  <c r="N86" i="1" s="1"/>
  <c r="N17" i="1"/>
  <c r="N15" i="1"/>
  <c r="L16" i="1"/>
  <c r="M16" i="1" s="1"/>
  <c r="N12" i="1" l="1"/>
  <c r="N11" i="1" s="1"/>
  <c r="N20" i="1" s="1"/>
  <c r="N24" i="1" s="1"/>
  <c r="N85" i="1" s="1"/>
  <c r="N87" i="1" s="1"/>
  <c r="N89" i="1" s="1"/>
  <c r="M91" i="1"/>
  <c r="M83" i="1"/>
  <c r="M82" i="1"/>
  <c r="M81" i="1"/>
  <c r="M80" i="1"/>
  <c r="M79" i="1"/>
  <c r="M78" i="1"/>
  <c r="M77" i="1"/>
  <c r="M76" i="1"/>
  <c r="M75" i="1"/>
  <c r="M74" i="1"/>
  <c r="M73" i="1"/>
  <c r="M71" i="1"/>
  <c r="M70" i="1"/>
  <c r="M69" i="1"/>
  <c r="M68" i="1"/>
  <c r="M66" i="1"/>
  <c r="M65" i="1"/>
  <c r="M64" i="1"/>
  <c r="M63" i="1"/>
  <c r="M62" i="1"/>
  <c r="M60" i="1"/>
  <c r="M59" i="1"/>
  <c r="M56" i="1"/>
  <c r="M55" i="1"/>
  <c r="M53" i="1"/>
  <c r="M52" i="1"/>
  <c r="M51" i="1"/>
  <c r="M46" i="1"/>
  <c r="M45" i="1"/>
  <c r="M44" i="1"/>
  <c r="M43" i="1"/>
  <c r="M42" i="1"/>
  <c r="M39" i="1"/>
  <c r="M38" i="1"/>
  <c r="M32" i="1"/>
  <c r="M30" i="1"/>
  <c r="M29" i="1"/>
  <c r="M23" i="1"/>
  <c r="M22" i="1"/>
  <c r="M21" i="1"/>
  <c r="M19" i="1"/>
  <c r="M15" i="1"/>
  <c r="M14" i="1"/>
  <c r="M13" i="1"/>
  <c r="M10" i="1"/>
  <c r="M9" i="1"/>
  <c r="M8" i="1"/>
  <c r="M7" i="1"/>
  <c r="L58" i="1" l="1"/>
  <c r="M58" i="1" s="1"/>
  <c r="L54" i="1"/>
  <c r="M54" i="1" s="1"/>
  <c r="L48" i="1"/>
  <c r="M48" i="1" s="1"/>
  <c r="L88" i="1"/>
  <c r="M88" i="1" s="1"/>
  <c r="L41" i="1"/>
  <c r="M41" i="1" s="1"/>
  <c r="L57" i="1"/>
  <c r="M57" i="1" s="1"/>
  <c r="L61" i="1"/>
  <c r="M61" i="1" s="1"/>
  <c r="L67" i="1"/>
  <c r="M67" i="1" s="1"/>
  <c r="L50" i="1"/>
  <c r="M50" i="1" s="1"/>
  <c r="L31" i="1"/>
  <c r="M31" i="1" s="1"/>
  <c r="L40" i="1"/>
  <c r="M40" i="1" s="1"/>
  <c r="L34" i="1"/>
  <c r="M34" i="1" s="1"/>
  <c r="L49" i="1"/>
  <c r="M49" i="1" s="1"/>
  <c r="L12" i="1"/>
  <c r="M12" i="1" s="1"/>
  <c r="L11" i="1" l="1"/>
  <c r="M11" i="1" s="1"/>
  <c r="L28" i="1"/>
  <c r="L37" i="1"/>
  <c r="M37" i="1" s="1"/>
  <c r="L47" i="1"/>
  <c r="M47" i="1" s="1"/>
  <c r="K53" i="1"/>
  <c r="K47" i="1" s="1"/>
  <c r="K68" i="1"/>
  <c r="K67" i="1" s="1"/>
  <c r="K34" i="1"/>
  <c r="K41" i="1"/>
  <c r="K37" i="1"/>
  <c r="K27" i="1"/>
  <c r="K57" i="1"/>
  <c r="K61" i="1"/>
  <c r="K12" i="1"/>
  <c r="K11" i="1" s="1"/>
  <c r="K20" i="1" s="1"/>
  <c r="K24" i="1" s="1"/>
  <c r="K85" i="1" s="1"/>
  <c r="J12" i="1"/>
  <c r="J11" i="1" s="1"/>
  <c r="L20" i="1" l="1"/>
  <c r="L24" i="1" s="1"/>
  <c r="L27" i="1"/>
  <c r="M28" i="1"/>
  <c r="L36" i="1"/>
  <c r="M36" i="1" s="1"/>
  <c r="K36" i="1"/>
  <c r="K72" i="1" s="1"/>
  <c r="J69" i="1"/>
  <c r="J68" i="1"/>
  <c r="J66" i="1"/>
  <c r="J62" i="1"/>
  <c r="J61" i="1" s="1"/>
  <c r="J57" i="1"/>
  <c r="J53" i="1"/>
  <c r="J48" i="1"/>
  <c r="J41" i="1"/>
  <c r="J39" i="1"/>
  <c r="J37" i="1" s="1"/>
  <c r="J29" i="1"/>
  <c r="J28" i="1"/>
  <c r="J20" i="1"/>
  <c r="J24" i="1" s="1"/>
  <c r="J85" i="1" s="1"/>
  <c r="J8" i="1"/>
  <c r="M20" i="1" l="1"/>
  <c r="J67" i="1"/>
  <c r="M24" i="1"/>
  <c r="L85" i="1"/>
  <c r="M85" i="1" s="1"/>
  <c r="M27" i="1"/>
  <c r="L72" i="1"/>
  <c r="J27" i="1"/>
  <c r="K84" i="1"/>
  <c r="K86" i="1"/>
  <c r="K87" i="1" s="1"/>
  <c r="K89" i="1" s="1"/>
  <c r="J47" i="1"/>
  <c r="J36" i="1" s="1"/>
  <c r="L84" i="1" l="1"/>
  <c r="M72" i="1"/>
  <c r="J72" i="1"/>
  <c r="H9" i="1"/>
  <c r="H12" i="1"/>
  <c r="H11" i="1" s="1"/>
  <c r="H28" i="1"/>
  <c r="H29" i="1"/>
  <c r="H39" i="1"/>
  <c r="H37" i="1" s="1"/>
  <c r="H41" i="1"/>
  <c r="H48" i="1"/>
  <c r="H53" i="1"/>
  <c r="H57" i="1"/>
  <c r="H62" i="1"/>
  <c r="H61" i="1" s="1"/>
  <c r="H66" i="1"/>
  <c r="H68" i="1"/>
  <c r="H69" i="1"/>
  <c r="H20" i="1" l="1"/>
  <c r="H24" i="1" s="1"/>
  <c r="H85" i="1" s="1"/>
  <c r="M84" i="1"/>
  <c r="L87" i="1"/>
  <c r="M87" i="1" s="1"/>
  <c r="L86" i="1"/>
  <c r="H47" i="1"/>
  <c r="H36" i="1" s="1"/>
  <c r="H67" i="1"/>
  <c r="H27" i="1"/>
  <c r="J86" i="1"/>
  <c r="J87" i="1" s="1"/>
  <c r="J84" i="1"/>
  <c r="I69" i="1"/>
  <c r="I68" i="1"/>
  <c r="I66" i="1"/>
  <c r="I62" i="1"/>
  <c r="I61" i="1" s="1"/>
  <c r="I57" i="1"/>
  <c r="I53" i="1"/>
  <c r="I48" i="1"/>
  <c r="I41" i="1"/>
  <c r="I39" i="1"/>
  <c r="I37" i="1" s="1"/>
  <c r="I29" i="1"/>
  <c r="I28" i="1"/>
  <c r="I12" i="1"/>
  <c r="I11" i="1" s="1"/>
  <c r="I9" i="1"/>
  <c r="L89" i="1" l="1"/>
  <c r="M89" i="1" s="1"/>
  <c r="M86" i="1"/>
  <c r="H72" i="1"/>
  <c r="H84" i="1" s="1"/>
  <c r="I27" i="1"/>
  <c r="I20" i="1"/>
  <c r="I24" i="1" s="1"/>
  <c r="I85" i="1" s="1"/>
  <c r="I47" i="1"/>
  <c r="I36" i="1" s="1"/>
  <c r="I67" i="1"/>
  <c r="H86" i="1" l="1"/>
  <c r="H87" i="1" s="1"/>
  <c r="H89" i="1" s="1"/>
  <c r="I72" i="1"/>
  <c r="I84" i="1" s="1"/>
  <c r="G67" i="1"/>
  <c r="G61" i="1"/>
  <c r="G57" i="1"/>
  <c r="G47" i="1"/>
  <c r="G41" i="1"/>
  <c r="G37" i="1"/>
  <c r="G29" i="1"/>
  <c r="G28" i="1"/>
  <c r="F66" i="1"/>
  <c r="F91" i="1"/>
  <c r="F69" i="1"/>
  <c r="F67" i="1" s="1"/>
  <c r="F41" i="1"/>
  <c r="F62" i="1"/>
  <c r="F61" i="1" s="1"/>
  <c r="F51" i="1"/>
  <c r="F48" i="1"/>
  <c r="E53" i="1"/>
  <c r="F53" i="1" s="1"/>
  <c r="F40" i="1"/>
  <c r="F37" i="1"/>
  <c r="F28" i="1"/>
  <c r="F27" i="1" s="1"/>
  <c r="F9" i="1"/>
  <c r="F7" i="1"/>
  <c r="E67" i="1"/>
  <c r="E29" i="1"/>
  <c r="E27" i="1"/>
  <c r="E20" i="1"/>
  <c r="E24" i="1" s="1"/>
  <c r="E85" i="1" s="1"/>
  <c r="E39" i="1"/>
  <c r="E37" i="1" s="1"/>
  <c r="E58" i="1"/>
  <c r="F58" i="1" s="1"/>
  <c r="E59" i="1"/>
  <c r="E61" i="1"/>
  <c r="D11" i="1"/>
  <c r="D20" i="1" s="1"/>
  <c r="D24" i="1" s="1"/>
  <c r="D85" i="1" s="1"/>
  <c r="D37" i="1"/>
  <c r="D41" i="1"/>
  <c r="D47" i="1"/>
  <c r="D57" i="1"/>
  <c r="D61" i="1"/>
  <c r="C37" i="1"/>
  <c r="C41" i="1"/>
  <c r="C44" i="1"/>
  <c r="C47" i="1"/>
  <c r="C57" i="1"/>
  <c r="C61" i="1"/>
  <c r="C67" i="1"/>
  <c r="E12" i="1"/>
  <c r="F12" i="1" s="1"/>
  <c r="F11" i="1" s="1"/>
  <c r="E8" i="1"/>
  <c r="N5" i="2"/>
  <c r="N10" i="2"/>
  <c r="N9" i="2"/>
  <c r="N4" i="2"/>
  <c r="G11" i="1" l="1"/>
  <c r="G20" i="1" s="1"/>
  <c r="G24" i="1" s="1"/>
  <c r="G85" i="1" s="1"/>
  <c r="E57" i="1"/>
  <c r="G27" i="1"/>
  <c r="I86" i="1"/>
  <c r="I87" i="1" s="1"/>
  <c r="G36" i="1"/>
  <c r="C36" i="1"/>
  <c r="C72" i="1" s="1"/>
  <c r="C86" i="1" s="1"/>
  <c r="C87" i="1" s="1"/>
  <c r="C89" i="1" s="1"/>
  <c r="D36" i="1"/>
  <c r="D72" i="1" s="1"/>
  <c r="D86" i="1" s="1"/>
  <c r="D87" i="1" s="1"/>
  <c r="D89" i="1" s="1"/>
  <c r="F59" i="1"/>
  <c r="F57" i="1" s="1"/>
  <c r="F20" i="1"/>
  <c r="F24" i="1" s="1"/>
  <c r="F85" i="1" s="1"/>
  <c r="F47" i="1"/>
  <c r="E47" i="1"/>
  <c r="E36" i="1" s="1"/>
  <c r="E72" i="1" s="1"/>
  <c r="I88" i="1"/>
  <c r="F36" i="1" l="1"/>
  <c r="F72" i="1" s="1"/>
  <c r="F84" i="1" s="1"/>
  <c r="F86" i="1" s="1"/>
  <c r="F87" i="1" s="1"/>
  <c r="F89" i="1" s="1"/>
  <c r="G88" i="1" s="1"/>
  <c r="I89" i="1"/>
  <c r="J88" i="1" s="1"/>
  <c r="J89" i="1" s="1"/>
  <c r="D84" i="1"/>
  <c r="G72" i="1"/>
  <c r="G84" i="1" s="1"/>
  <c r="G86" i="1" s="1"/>
  <c r="G87" i="1" s="1"/>
  <c r="E84" i="1"/>
  <c r="E86" i="1"/>
  <c r="E87" i="1" s="1"/>
  <c r="E89" i="1" s="1"/>
  <c r="G89" i="1" l="1"/>
</calcChain>
</file>

<file path=xl/sharedStrings.xml><?xml version="1.0" encoding="utf-8"?>
<sst xmlns="http://schemas.openxmlformats.org/spreadsheetml/2006/main" count="161" uniqueCount="152">
  <si>
    <t>1. PLAN PRIHODA I RASHODA</t>
  </si>
  <si>
    <t>- u kn</t>
  </si>
  <si>
    <t>-kn</t>
  </si>
  <si>
    <t>KONTO SKUPINE</t>
  </si>
  <si>
    <t>OPIS</t>
  </si>
  <si>
    <t>REALIZACIJA 2017.</t>
  </si>
  <si>
    <t>PLAN 2018.</t>
  </si>
  <si>
    <t>REALIZACIJA 31.11.2018.</t>
  </si>
  <si>
    <t>REBALANS PLANA 2018.</t>
  </si>
  <si>
    <t>FINANCIJSKI PLAN ZA 2019. GODINU</t>
  </si>
  <si>
    <t>REBALANS FINANCIJSKOG PLANA ZA 2019</t>
  </si>
  <si>
    <t>FINANCIJSKI PLAN ZA 2020.</t>
  </si>
  <si>
    <t>I. PRIHODI</t>
  </si>
  <si>
    <t>I.a. PRIHODI OSNOVNE DJELATNOSTI</t>
  </si>
  <si>
    <t>1. Prihodi od članarine</t>
  </si>
  <si>
    <t>Članarine</t>
  </si>
  <si>
    <t>2. Prihodi od imovine</t>
  </si>
  <si>
    <t>Prihodi od zateznih kamata</t>
  </si>
  <si>
    <t>3. Prihodi od donacija</t>
  </si>
  <si>
    <t>Prihodi od inozemnih vlada i međunarodnih organizacija</t>
  </si>
  <si>
    <t>4. Ostali prihodi</t>
  </si>
  <si>
    <t>UKUPNO OSNOVNA DJELATNOST</t>
  </si>
  <si>
    <t>1.b. PRIHODI OD GOSPODARSKE DJELATNOSTI</t>
  </si>
  <si>
    <t>1. Prihodi od usluga</t>
  </si>
  <si>
    <t>UKUPNO GOSPODARSKA DJELATNOST</t>
  </si>
  <si>
    <t>SVEUKUPNI PRIHODI</t>
  </si>
  <si>
    <t>II. RASHODI</t>
  </si>
  <si>
    <t>II.a. TROŠKOVI OSNOVNE DJELATNOSTI</t>
  </si>
  <si>
    <t>1. Rashodi za radnike</t>
  </si>
  <si>
    <t>Trošak plaće za radnike po ugovoru o radu</t>
  </si>
  <si>
    <t>Troškovi honorara</t>
  </si>
  <si>
    <t>2. Materijalni rashodi</t>
  </si>
  <si>
    <t>Naknade troškova radnicima:</t>
  </si>
  <si>
    <t>Trošak goriva za službena putovanja</t>
  </si>
  <si>
    <t>Službena putovanja- radnici</t>
  </si>
  <si>
    <t>Naknade za prijevoz (LOKO),rad na terenu i odvojeni život- radnici</t>
  </si>
  <si>
    <t>Naknade članovima:</t>
  </si>
  <si>
    <t>Nakade troškova službenih putovanja - drugi</t>
  </si>
  <si>
    <t>Naknade ostalih troškova</t>
  </si>
  <si>
    <t>Naknade ostalim osobama izvan radnog odnosa</t>
  </si>
  <si>
    <t>Naknade za obavljanje aktivnosti</t>
  </si>
  <si>
    <t>Naknade troškova službenih putovanja</t>
  </si>
  <si>
    <t>Rashodi za usluge:</t>
  </si>
  <si>
    <t>Usluge telefona, pošte i prijevoza</t>
  </si>
  <si>
    <t>Usluge promidžbe i informiranja</t>
  </si>
  <si>
    <t>Zakupnine i najamnine</t>
  </si>
  <si>
    <t>Usluge tiska</t>
  </si>
  <si>
    <t>Intelektualne i osobne usluge</t>
  </si>
  <si>
    <t>Računalne usluge</t>
  </si>
  <si>
    <t>Ostale usluge</t>
  </si>
  <si>
    <t>Rashodi za materijal i energiju:</t>
  </si>
  <si>
    <t>Uredski materijal i ostali materijalni rashodi</t>
  </si>
  <si>
    <t>Energija (Trošak režija)</t>
  </si>
  <si>
    <t>Otpis sitnog inventara</t>
  </si>
  <si>
    <t>Ostali nespomenuti materijalni rashodi:</t>
  </si>
  <si>
    <t>Reprezentacija</t>
  </si>
  <si>
    <t>Troškovi kotizacije</t>
  </si>
  <si>
    <t>Ostali nespomenuti materijalni rashodi</t>
  </si>
  <si>
    <t>3. Rashodi amortizacije</t>
  </si>
  <si>
    <t>4. Financijski rashodi</t>
  </si>
  <si>
    <t>Kamate za odobrene, a nerealizirane kredite, ostale kamate</t>
  </si>
  <si>
    <t>Usluge banaka i platnog prometa</t>
  </si>
  <si>
    <t>Negativne tečajne razlike i valutna klauzula</t>
  </si>
  <si>
    <t>5. Ostali rashodi</t>
  </si>
  <si>
    <t>II.b. TROŠKOVI GOSPODARSKE DJELATNOSTI</t>
  </si>
  <si>
    <t>1. Plaća uprave</t>
  </si>
  <si>
    <t>2. Plaće radnika</t>
  </si>
  <si>
    <t>3. Materijalni troškovi uprave</t>
  </si>
  <si>
    <t>4. Materijalni troškovi gosp. djel.</t>
  </si>
  <si>
    <t>5. Rashodi amortizacije uprave</t>
  </si>
  <si>
    <t>6. Rashodi amortizacije gosp. djel.</t>
  </si>
  <si>
    <t>7. Financijski rashodi uprave</t>
  </si>
  <si>
    <t>8. Financijski rashodi gosp.djel.</t>
  </si>
  <si>
    <t>9. Ostali rashodi gosp.djel.</t>
  </si>
  <si>
    <t>SVEUKUPNI RASHODI</t>
  </si>
  <si>
    <t>UKUPNO PRIHODI</t>
  </si>
  <si>
    <t>UKUPNO RASHODI</t>
  </si>
  <si>
    <t>RAZLIKA PRIHODA I RASHODA</t>
  </si>
  <si>
    <t>PRIJENOS IZ PRETHODNE GODINE</t>
  </si>
  <si>
    <t>KONAČAN REZULTAT</t>
  </si>
  <si>
    <t>III INVESTICIJE U DUGOTRAJNU IMOVINU</t>
  </si>
  <si>
    <t>Postrojenja i oprema u pripremi</t>
  </si>
  <si>
    <t>Najviši iznos do kojega je dopuštena preraspodjela unutar stavke rashoda koja se smanjuje je 10% iznosa te stavke.</t>
  </si>
  <si>
    <t xml:space="preserve">Pod značajna odstupanja spadaju: nastanak novih neplaniranih troškova, odstupanja iznosa prihoda i troškova viših </t>
  </si>
  <si>
    <t>za 10% od planiranih.</t>
  </si>
  <si>
    <t>Predsjednik</t>
  </si>
  <si>
    <t>Marijan Širac, mag.oec.</t>
  </si>
  <si>
    <t>2. PLAN ZADUŽIVANJA I OTPLATA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</si>
  <si>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</si>
  <si>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</si>
  <si>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</si>
  <si>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</si>
  <si>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</si>
  <si>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</si>
  <si>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</si>
  <si>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</si>
  <si>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</si>
  <si>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</si>
  <si>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</si>
  <si>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</si>
  <si>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UKUPNO</t>
  </si>
  <si>
    <t>primici od dugoročnog zaduživanja             UKUPNO</t>
  </si>
  <si>
    <t>primljeni krediti i zajmovi</t>
  </si>
  <si>
    <t>prodaja vrijednosnih papira, dionica i udjela u glavnici</t>
  </si>
  <si>
    <t>povrat glavnice danih zajmova</t>
  </si>
  <si>
    <t>izdaci za dane dugoročne zajmove, ulaganja u vrijednosne papire, dionice i udjele u glavnici</t>
  </si>
  <si>
    <t>izdaci za otplatu glavnice primljenih dugoročnih kredita i zajmova</t>
  </si>
  <si>
    <t>najviši iznos do kojega je dopušteno jednokratno dugoročno zaduživanje</t>
  </si>
  <si>
    <t>najviši iznos do kojega je dopušteno jednokratno davanje kratkorošnih zajmova</t>
  </si>
  <si>
    <t>3. OBRAZLOŽENJA FINANCIJSKOG PLANA</t>
  </si>
  <si>
    <t>obrazloženja skupina prihoda i rashoda</t>
  </si>
  <si>
    <t>U financijski plan uračunati su troškovi, te prihodi koji se planiraju ostvariti po slijedećim projektima/programima:</t>
  </si>
  <si>
    <t>Promidžba i informiranje projekt Zaželi</t>
  </si>
  <si>
    <t>Intelektualne i osobne usluge edukacije u projektu Zaželi</t>
  </si>
  <si>
    <t>PLAN 2021.        kn</t>
  </si>
  <si>
    <t>ESF projekt "Javi se, promijeni s(v)e"</t>
  </si>
  <si>
    <t>PLAN ZA 2022. kn</t>
  </si>
  <si>
    <t>LEADER mjera 19.1.</t>
  </si>
  <si>
    <t>LEADER mjera 19.4.</t>
  </si>
  <si>
    <t>Trošak plaće iz LEADER mjere 19.1.</t>
  </si>
  <si>
    <t>Trošak plaće iz LEADER mjere 19.4.</t>
  </si>
  <si>
    <t>Trošak plaće projekt "Ruke  koje mogu sve"</t>
  </si>
  <si>
    <t>Trošak plaće "Javi se, promijeni s(v)e"</t>
  </si>
  <si>
    <t>Predsjednica</t>
  </si>
  <si>
    <t>PLAN ZA 2023.       kn</t>
  </si>
  <si>
    <t>PLAN ZA 2023.        €</t>
  </si>
  <si>
    <t>Daria Adžijević</t>
  </si>
  <si>
    <t>Nije planirano zaduživanje.</t>
  </si>
  <si>
    <t>PLAN ZA 2024.</t>
  </si>
  <si>
    <t>ESF Projekt "Ruke koje mogu sve III"</t>
  </si>
  <si>
    <t>INTERVENCIJA 77.06 LEADER</t>
  </si>
  <si>
    <t>052</t>
  </si>
  <si>
    <t>053</t>
  </si>
  <si>
    <t>Prijevozna sredstva u pripremi</t>
  </si>
  <si>
    <t>Trošak plaće Kovačević, Šimičić</t>
  </si>
  <si>
    <t>Trošak plaće iz Intervencije 77.06. LEADER Matek, Marenić, Kozić</t>
  </si>
  <si>
    <t>provedbe intervencije 77.06 Strateškog plana Zajedničke poljoprivredne politike Republike Hrvatske.</t>
  </si>
  <si>
    <t>Daria Adžijević, mag.oec.</t>
  </si>
  <si>
    <t>PLAN ZA 2025.</t>
  </si>
  <si>
    <t>Nije planirana nabava dugotrajne imovine.</t>
  </si>
  <si>
    <t xml:space="preserve">FINANCIJSKI PLAN LAG-a "ZELENI TROKUT" ZA 2026. GODINU </t>
  </si>
  <si>
    <t>PLAN ZA 2026.</t>
  </si>
  <si>
    <t>UR.BROJ:OD/25-P/-SU</t>
  </si>
  <si>
    <t xml:space="preserve"> FINANCIJSKI PLAN ZA 2026. GODINU</t>
  </si>
  <si>
    <t>U troškovima je predviđena plaća za 3 djelatnika na intervenciji 77.06 te 1 djelatnice na projektu Zaželi.</t>
  </si>
  <si>
    <t>Uključena je plaća 20 žena koje će se zaposliti na projektu Zaželi. U projekciji plaća planirano je povećanje od 8,25%.</t>
  </si>
  <si>
    <t xml:space="preserve">Prihodi u 2026. godini planiraju se iz projekta Ruke koje mogu sve te </t>
  </si>
  <si>
    <t>FINANCIJSKI PLAN ZA 2026. GODINU</t>
  </si>
  <si>
    <t>obrazloženja programa, aktivnosti i projekata koji se planiraju provoditi u 2026. godini</t>
  </si>
  <si>
    <t>- mjera 77.06 Provedba LEADER (CLLD) operacije</t>
  </si>
  <si>
    <t>- projekt "Ruke koje mogu sve III"</t>
  </si>
  <si>
    <t>U Pakracu, 15.12.2025.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</si>
</sst>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_€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4" tint="0.399975585192419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164" fontId="1" fillId="0" borderId="1" xfId="0" applyNumberFormat="1" applyFont="1" applyBorder="1"/>
    <xf numFmtId="164" fontId="2" fillId="0" borderId="1" xfId="0" applyNumberFormat="1" applyFont="1" applyBorder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2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right" wrapText="1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2" borderId="6" xfId="0" applyFont="1" applyFill="1" applyBorder="1"/>
    <xf numFmtId="0" fontId="2" fillId="2" borderId="0" xfId="0" applyFont="1" applyFill="1"/>
    <xf numFmtId="0" fontId="2" fillId="0" borderId="2" xfId="0" applyFont="1" applyBorder="1"/>
    <xf numFmtId="164" fontId="1" fillId="0" borderId="2" xfId="0" applyNumberFormat="1" applyFont="1" applyBorder="1"/>
    <xf numFmtId="164" fontId="2" fillId="0" borderId="2" xfId="0" applyNumberFormat="1" applyFont="1" applyBorder="1"/>
    <xf numFmtId="164" fontId="2" fillId="4" borderId="0" xfId="0" applyNumberFormat="1" applyFont="1" applyFill="1"/>
    <xf numFmtId="49" fontId="2" fillId="0" borderId="0" xfId="0" applyNumberFormat="1" applyFont="1" applyAlignment="1">
      <alignment horizontal="left"/>
    </xf>
    <xf numFmtId="49" fontId="2" fillId="0" borderId="0" xfId="0" applyNumberFormat="1" applyFont="1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/>
    <xf numFmtId="164" fontId="2" fillId="5" borderId="1" xfId="0" applyNumberFormat="1" applyFont="1" applyFill="1" applyBorder="1"/>
    <xf numFmtId="164" fontId="2" fillId="2" borderId="0" xfId="0" applyNumberFormat="1" applyFont="1" applyFill="1"/>
    <xf numFmtId="164" fontId="3" fillId="0" borderId="2" xfId="0" applyNumberFormat="1" applyFont="1" applyBorder="1"/>
    <xf numFmtId="164" fontId="1" fillId="2" borderId="2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4" fillId="5" borderId="0" xfId="0" applyNumberFormat="1" applyFont="1" applyFill="1"/>
    <xf numFmtId="164" fontId="2" fillId="0" borderId="0" xfId="0" applyNumberFormat="1" applyFont="1"/>
    <xf numFmtId="164" fontId="2" fillId="5" borderId="2" xfId="0" applyNumberFormat="1" applyFont="1" applyFill="1" applyBorder="1"/>
    <xf numFmtId="0" fontId="2" fillId="0" borderId="1" xfId="0" applyFont="1" applyBorder="1" applyAlignment="1">
      <alignment horizontal="right"/>
    </xf>
    <xf numFmtId="49" fontId="1" fillId="0" borderId="1" xfId="0" applyNumberFormat="1" applyFont="1" applyBorder="1"/>
    <xf numFmtId="164" fontId="2" fillId="2" borderId="1" xfId="0" applyNumberFormat="1" applyFont="1" applyFill="1" applyBorder="1"/>
    <xf numFmtId="164" fontId="1" fillId="2" borderId="1" xfId="0" applyNumberFormat="1" applyFont="1" applyFill="1" applyBorder="1"/>
    <xf numFmtId="164" fontId="1" fillId="4" borderId="1" xfId="0" applyNumberFormat="1" applyFont="1" applyFill="1" applyBorder="1"/>
    <xf numFmtId="164" fontId="1" fillId="4" borderId="0" xfId="0" applyNumberFormat="1" applyFont="1" applyFill="1"/>
    <xf numFmtId="164" fontId="1" fillId="6" borderId="0" xfId="0" applyNumberFormat="1" applyFont="1" applyFill="1"/>
    <xf numFmtId="49" fontId="6" fillId="0" borderId="0" xfId="0" applyNumberFormat="1" applyFont="1"/>
    <xf numFmtId="164" fontId="2" fillId="7" borderId="2" xfId="0" applyNumberFormat="1" applyFont="1" applyFill="1" applyBorder="1" applyAlignment="1">
      <alignment horizontal="center" vertical="center" wrapText="1"/>
    </xf>
    <xf numFmtId="164" fontId="2" fillId="6" borderId="0" xfId="0" applyNumberFormat="1" applyFont="1" applyFill="1"/>
    <xf numFmtId="49" fontId="1" fillId="0" borderId="0" xfId="0" applyNumberFormat="1" applyFont="1" applyAlignment="1">
      <alignment horizontal="right"/>
    </xf>
    <xf numFmtId="164" fontId="2" fillId="8" borderId="1" xfId="0" applyNumberFormat="1" applyFont="1" applyFill="1" applyBorder="1"/>
    <xf numFmtId="164" fontId="1" fillId="9" borderId="1" xfId="0" applyNumberFormat="1" applyFont="1" applyFill="1" applyBorder="1"/>
    <xf numFmtId="164" fontId="2" fillId="8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10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164" fontId="7" fillId="0" borderId="2" xfId="0" applyNumberFormat="1" applyFont="1" applyBorder="1"/>
    <xf numFmtId="164" fontId="8" fillId="0" borderId="2" xfId="0" applyNumberFormat="1" applyFont="1" applyBorder="1"/>
    <xf numFmtId="164" fontId="8" fillId="0" borderId="1" xfId="0" applyNumberFormat="1" applyFont="1" applyBorder="1"/>
    <xf numFmtId="0" fontId="8" fillId="0" borderId="1" xfId="0" applyFont="1" applyBorder="1" applyAlignment="1">
      <alignment horizontal="left"/>
    </xf>
    <xf numFmtId="164" fontId="7" fillId="0" borderId="1" xfId="0" applyNumberFormat="1" applyFont="1" applyBorder="1"/>
    <xf numFmtId="164" fontId="9" fillId="0" borderId="1" xfId="0" applyNumberFormat="1" applyFont="1" applyBorder="1"/>
    <xf numFmtId="164" fontId="2" fillId="2" borderId="2" xfId="0" applyNumberFormat="1" applyFont="1" applyFill="1" applyBorder="1"/>
    <xf numFmtId="164" fontId="2" fillId="4" borderId="2" xfId="0" applyNumberFormat="1" applyFont="1" applyFill="1" applyBorder="1"/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164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/>
    <xf numFmtId="164" fontId="5" fillId="0" borderId="1" xfId="0" applyNumberFormat="1" applyFont="1" applyBorder="1"/>
    <xf numFmtId="0" fontId="6" fillId="0" borderId="0" xfId="0" applyFont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right"/>
    </xf>
    <xf numFmtId="164" fontId="11" fillId="0" borderId="1" xfId="0" applyNumberFormat="1" applyFont="1" applyBorder="1"/>
    <xf numFmtId="164" fontId="11" fillId="0" borderId="2" xfId="0" applyNumberFormat="1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164" fontId="6" fillId="0" borderId="2" xfId="0" applyNumberFormat="1" applyFont="1" applyBorder="1"/>
    <xf numFmtId="0" fontId="8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right" vertical="top" wrapText="1"/>
    </xf>
    <xf numFmtId="164" fontId="7" fillId="0" borderId="1" xfId="0" applyNumberFormat="1" applyFont="1" applyBorder="1" applyAlignment="1">
      <alignment vertical="top"/>
    </xf>
    <xf numFmtId="164" fontId="7" fillId="0" borderId="2" xfId="0" applyNumberFormat="1" applyFont="1" applyBorder="1" applyAlignment="1">
      <alignment vertical="top"/>
    </xf>
    <xf numFmtId="164" fontId="8" fillId="0" borderId="1" xfId="0" applyNumberFormat="1" applyFont="1" applyBorder="1" applyAlignment="1">
      <alignment vertical="top"/>
    </xf>
    <xf numFmtId="164" fontId="9" fillId="0" borderId="1" xfId="0" applyNumberFormat="1" applyFont="1" applyBorder="1" applyAlignment="1">
      <alignment vertical="top"/>
    </xf>
    <xf numFmtId="165" fontId="1" fillId="0" borderId="0" xfId="0" applyNumberFormat="1" applyFont="1"/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/>
    <xf numFmtId="165" fontId="2" fillId="0" borderId="1" xfId="0" applyNumberFormat="1" applyFont="1" applyBorder="1"/>
    <xf numFmtId="165" fontId="1" fillId="0" borderId="1" xfId="0" applyNumberFormat="1" applyFont="1" applyBorder="1"/>
    <xf numFmtId="165" fontId="5" fillId="0" borderId="1" xfId="0" applyNumberFormat="1" applyFont="1" applyBorder="1"/>
    <xf numFmtId="165" fontId="1" fillId="2" borderId="1" xfId="0" applyNumberFormat="1" applyFont="1" applyFill="1" applyBorder="1"/>
    <xf numFmtId="165" fontId="6" fillId="0" borderId="1" xfId="0" applyNumberFormat="1" applyFont="1" applyBorder="1"/>
    <xf numFmtId="165" fontId="9" fillId="0" borderId="1" xfId="0" applyNumberFormat="1" applyFont="1" applyBorder="1"/>
    <xf numFmtId="165" fontId="9" fillId="0" borderId="1" xfId="0" applyNumberFormat="1" applyFont="1" applyBorder="1" applyAlignment="1">
      <alignment vertical="top"/>
    </xf>
    <xf numFmtId="165" fontId="2" fillId="2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/>
    <xf numFmtId="4" fontId="2" fillId="0" borderId="0" xfId="0" applyNumberFormat="1" applyFont="1"/>
    <xf numFmtId="165" fontId="1" fillId="0" borderId="3" xfId="0" applyNumberFormat="1" applyFont="1" applyBorder="1"/>
    <xf numFmtId="165" fontId="1" fillId="0" borderId="5" xfId="0" applyNumberFormat="1" applyFont="1" applyBorder="1"/>
    <xf numFmtId="165" fontId="1" fillId="0" borderId="4" xfId="0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"/>
  <sheetViews>
    <sheetView tabSelected="1" zoomScaleNormal="100" workbookViewId="0">
      <selection activeCell="A100" sqref="A100"/>
    </sheetView>
  </sheetViews>
  <sheetFormatPr defaultRowHeight="15.75" x14ac:dyDescent="0.25"/>
  <cols>
    <col min="1" max="1" width="9.7109375" style="1" customWidth="1"/>
    <col min="2" max="2" width="81.42578125" style="1" customWidth="1"/>
    <col min="3" max="3" width="16.140625" style="9" hidden="1" customWidth="1"/>
    <col min="4" max="5" width="15.5703125" style="9" hidden="1" customWidth="1"/>
    <col min="6" max="6" width="16.5703125" style="9" hidden="1" customWidth="1"/>
    <col min="7" max="7" width="20.5703125" style="9" hidden="1" customWidth="1"/>
    <col min="8" max="8" width="15" style="9" hidden="1" customWidth="1"/>
    <col min="9" max="9" width="15.42578125" style="9" hidden="1" customWidth="1"/>
    <col min="10" max="10" width="19.140625" style="9" hidden="1" customWidth="1"/>
    <col min="11" max="11" width="19" style="9" hidden="1" customWidth="1"/>
    <col min="12" max="12" width="5" style="9" hidden="1" customWidth="1"/>
    <col min="13" max="13" width="19" style="9" hidden="1" customWidth="1"/>
    <col min="14" max="14" width="19" style="9" customWidth="1"/>
    <col min="15" max="15" width="19" style="92" customWidth="1"/>
    <col min="16" max="16" width="18.7109375" style="92" customWidth="1"/>
    <col min="17" max="17" width="12" style="1" bestFit="1" customWidth="1"/>
    <col min="18" max="16384" width="9.140625" style="1"/>
  </cols>
  <sheetData>
    <row r="1" spans="1:16" x14ac:dyDescent="0.25">
      <c r="A1" s="108" t="s">
        <v>140</v>
      </c>
      <c r="B1" s="108"/>
      <c r="C1" s="108"/>
      <c r="D1" s="1"/>
      <c r="E1" s="1"/>
    </row>
    <row r="2" spans="1:16" x14ac:dyDescent="0.25">
      <c r="A2" s="108" t="s">
        <v>0</v>
      </c>
      <c r="B2" s="108"/>
      <c r="C2" s="108"/>
      <c r="D2" s="1"/>
      <c r="E2" s="1"/>
    </row>
    <row r="3" spans="1:16" x14ac:dyDescent="0.25">
      <c r="D3" s="14" t="s">
        <v>1</v>
      </c>
      <c r="E3" s="14"/>
      <c r="H3" s="55" t="s">
        <v>2</v>
      </c>
      <c r="J3" s="14"/>
    </row>
    <row r="4" spans="1:16" s="3" customFormat="1" ht="94.5" x14ac:dyDescent="0.25">
      <c r="A4" s="38" t="s">
        <v>3</v>
      </c>
      <c r="B4" s="39" t="s">
        <v>4</v>
      </c>
      <c r="C4" s="40" t="s">
        <v>5</v>
      </c>
      <c r="D4" s="41" t="s">
        <v>6</v>
      </c>
      <c r="E4" s="40" t="s">
        <v>7</v>
      </c>
      <c r="F4" s="53" t="s">
        <v>8</v>
      </c>
      <c r="G4" s="40" t="s">
        <v>9</v>
      </c>
      <c r="H4" s="58" t="s">
        <v>10</v>
      </c>
      <c r="I4" s="38" t="s">
        <v>11</v>
      </c>
      <c r="J4" s="61" t="s">
        <v>114</v>
      </c>
      <c r="K4" s="75" t="s">
        <v>116</v>
      </c>
      <c r="L4" s="75" t="s">
        <v>124</v>
      </c>
      <c r="M4" s="75" t="s">
        <v>125</v>
      </c>
      <c r="N4" s="75" t="s">
        <v>128</v>
      </c>
      <c r="O4" s="93" t="s">
        <v>138</v>
      </c>
      <c r="P4" s="102" t="s">
        <v>141</v>
      </c>
    </row>
    <row r="5" spans="1:16" s="4" customFormat="1" x14ac:dyDescent="0.25">
      <c r="A5" s="22" t="s">
        <v>12</v>
      </c>
      <c r="B5" s="23"/>
      <c r="C5" s="27"/>
      <c r="D5" s="35"/>
      <c r="E5" s="42"/>
      <c r="F5" s="54"/>
      <c r="G5" s="34"/>
      <c r="H5" s="56"/>
      <c r="I5" s="6"/>
      <c r="J5" s="62"/>
      <c r="K5" s="47"/>
      <c r="L5" s="47"/>
      <c r="M5" s="47"/>
      <c r="N5" s="47"/>
      <c r="O5" s="94"/>
      <c r="P5" s="94"/>
    </row>
    <row r="6" spans="1:16" s="4" customFormat="1" x14ac:dyDescent="0.25">
      <c r="A6" s="15"/>
      <c r="B6" s="5" t="s">
        <v>13</v>
      </c>
      <c r="C6" s="8"/>
      <c r="D6" s="8"/>
      <c r="E6" s="8"/>
      <c r="F6" s="26"/>
      <c r="G6" s="8"/>
      <c r="H6" s="8"/>
      <c r="I6" s="5"/>
      <c r="J6" s="8"/>
      <c r="K6" s="8"/>
      <c r="L6" s="8"/>
      <c r="M6" s="8"/>
      <c r="N6" s="8"/>
      <c r="O6" s="95"/>
      <c r="P6" s="95"/>
    </row>
    <row r="7" spans="1:16" x14ac:dyDescent="0.25">
      <c r="A7" s="30">
        <v>32</v>
      </c>
      <c r="B7" s="5" t="s">
        <v>14</v>
      </c>
      <c r="C7" s="25">
        <v>84300</v>
      </c>
      <c r="D7" s="25">
        <v>40000</v>
      </c>
      <c r="E7" s="25">
        <v>21000</v>
      </c>
      <c r="F7" s="25">
        <f>F8</f>
        <v>22000</v>
      </c>
      <c r="G7" s="7">
        <v>40000</v>
      </c>
      <c r="H7" s="7">
        <v>30200</v>
      </c>
      <c r="I7" s="7">
        <v>30200</v>
      </c>
      <c r="J7" s="7">
        <v>34500</v>
      </c>
      <c r="K7" s="7">
        <v>34500</v>
      </c>
      <c r="L7" s="7">
        <v>34500</v>
      </c>
      <c r="M7" s="7">
        <f>L7/7.5345</f>
        <v>4578.9368903045988</v>
      </c>
      <c r="N7" s="7">
        <v>0</v>
      </c>
      <c r="O7" s="96">
        <v>1000</v>
      </c>
      <c r="P7" s="96">
        <v>530</v>
      </c>
    </row>
    <row r="8" spans="1:16" x14ac:dyDescent="0.25">
      <c r="A8" s="31">
        <v>3211</v>
      </c>
      <c r="B8" s="32" t="s">
        <v>15</v>
      </c>
      <c r="C8" s="36">
        <v>84300</v>
      </c>
      <c r="D8" s="36">
        <v>40000</v>
      </c>
      <c r="E8" s="36">
        <f>10000+10000+500+300+200</f>
        <v>21000</v>
      </c>
      <c r="F8" s="25">
        <v>22000</v>
      </c>
      <c r="G8" s="7">
        <v>40000</v>
      </c>
      <c r="H8" s="7">
        <v>30200</v>
      </c>
      <c r="I8" s="7">
        <v>30200</v>
      </c>
      <c r="J8" s="7">
        <f>4500+30000</f>
        <v>34500</v>
      </c>
      <c r="K8" s="7">
        <v>34500</v>
      </c>
      <c r="L8" s="7">
        <v>34500</v>
      </c>
      <c r="M8" s="7">
        <f t="shared" ref="M8:M73" si="0">L8/7.5345</f>
        <v>4578.9368903045988</v>
      </c>
      <c r="N8" s="7">
        <v>0</v>
      </c>
      <c r="O8" s="96">
        <v>1000</v>
      </c>
      <c r="P8" s="96">
        <v>530</v>
      </c>
    </row>
    <row r="9" spans="1:16" x14ac:dyDescent="0.25">
      <c r="A9" s="30">
        <v>34</v>
      </c>
      <c r="B9" s="15" t="s">
        <v>16</v>
      </c>
      <c r="C9" s="25">
        <v>2</v>
      </c>
      <c r="D9" s="25">
        <v>2</v>
      </c>
      <c r="E9" s="25">
        <v>0.72</v>
      </c>
      <c r="F9" s="25">
        <f>F10</f>
        <v>0.72</v>
      </c>
      <c r="G9" s="7">
        <v>0</v>
      </c>
      <c r="H9" s="7">
        <f>0.03+0.27</f>
        <v>0.30000000000000004</v>
      </c>
      <c r="I9" s="7">
        <f>0.03+0.27</f>
        <v>0.30000000000000004</v>
      </c>
      <c r="J9" s="7">
        <v>0</v>
      </c>
      <c r="K9" s="7">
        <v>0</v>
      </c>
      <c r="L9" s="7">
        <v>0</v>
      </c>
      <c r="M9" s="7">
        <f t="shared" si="0"/>
        <v>0</v>
      </c>
      <c r="N9" s="7">
        <v>0</v>
      </c>
      <c r="O9" s="96">
        <v>2</v>
      </c>
      <c r="P9" s="96">
        <v>2</v>
      </c>
    </row>
    <row r="10" spans="1:16" x14ac:dyDescent="0.25">
      <c r="A10" s="31">
        <v>3414</v>
      </c>
      <c r="B10" s="32" t="s">
        <v>17</v>
      </c>
      <c r="C10" s="36">
        <v>2</v>
      </c>
      <c r="D10" s="36">
        <v>2</v>
      </c>
      <c r="E10" s="36">
        <v>0.72</v>
      </c>
      <c r="F10" s="25">
        <v>0.72</v>
      </c>
      <c r="G10" s="7">
        <v>0</v>
      </c>
      <c r="H10" s="7">
        <v>0.3</v>
      </c>
      <c r="I10" s="7">
        <v>0.3</v>
      </c>
      <c r="J10" s="7">
        <v>0</v>
      </c>
      <c r="K10" s="7">
        <v>0</v>
      </c>
      <c r="L10" s="7">
        <v>0</v>
      </c>
      <c r="M10" s="7">
        <f t="shared" si="0"/>
        <v>0</v>
      </c>
      <c r="N10" s="7">
        <v>0</v>
      </c>
      <c r="O10" s="96">
        <v>2</v>
      </c>
      <c r="P10" s="96">
        <v>2</v>
      </c>
    </row>
    <row r="11" spans="1:16" x14ac:dyDescent="0.25">
      <c r="A11" s="30">
        <v>35</v>
      </c>
      <c r="B11" s="5" t="s">
        <v>18</v>
      </c>
      <c r="C11" s="25">
        <v>125747</v>
      </c>
      <c r="D11" s="25">
        <f>SUM(D12:D12)</f>
        <v>249838.89</v>
      </c>
      <c r="E11" s="25">
        <v>231115.66</v>
      </c>
      <c r="F11" s="25">
        <f>SUM(F12:F12)</f>
        <v>234914.66</v>
      </c>
      <c r="G11" s="7">
        <f>(3799*12)+D11</f>
        <v>295426.89</v>
      </c>
      <c r="H11" s="7">
        <f>H12</f>
        <v>329065.40000000002</v>
      </c>
      <c r="I11" s="7">
        <f>I12</f>
        <v>329065.40000000002</v>
      </c>
      <c r="J11" s="7">
        <f>J12</f>
        <v>4043417.9</v>
      </c>
      <c r="K11" s="7">
        <f>K12</f>
        <v>1072199.8</v>
      </c>
      <c r="L11" s="7">
        <f>L12</f>
        <v>1946105.53</v>
      </c>
      <c r="M11" s="7">
        <f t="shared" si="0"/>
        <v>258292.5914128343</v>
      </c>
      <c r="N11" s="7">
        <f>N12</f>
        <v>493602.73049999995</v>
      </c>
      <c r="O11" s="96">
        <f>O12</f>
        <v>361540</v>
      </c>
      <c r="P11" s="96">
        <f>P12</f>
        <v>313751.48</v>
      </c>
    </row>
    <row r="12" spans="1:16" x14ac:dyDescent="0.25">
      <c r="A12" s="31">
        <v>352</v>
      </c>
      <c r="B12" s="32" t="s">
        <v>19</v>
      </c>
      <c r="C12" s="36">
        <v>125747</v>
      </c>
      <c r="D12" s="36">
        <v>249838.89</v>
      </c>
      <c r="E12" s="36">
        <f>223541.72+7573.94</f>
        <v>231115.66</v>
      </c>
      <c r="F12" s="25">
        <f>E12+3799</f>
        <v>234914.66</v>
      </c>
      <c r="G12" s="7">
        <v>295426.89</v>
      </c>
      <c r="H12" s="7">
        <f>283573.33+45492.07</f>
        <v>329065.40000000002</v>
      </c>
      <c r="I12" s="7">
        <f>283573.33+45492.07</f>
        <v>329065.40000000002</v>
      </c>
      <c r="J12" s="7">
        <f>SUM(J13:J16)</f>
        <v>4043417.9</v>
      </c>
      <c r="K12" s="7">
        <f>SUM(K13:K16)</f>
        <v>1072199.8</v>
      </c>
      <c r="L12" s="7">
        <f>SUM(L13:L16)</f>
        <v>1946105.53</v>
      </c>
      <c r="M12" s="7">
        <f t="shared" si="0"/>
        <v>258292.5914128343</v>
      </c>
      <c r="N12" s="7">
        <f>SUM(N13:N18)</f>
        <v>493602.73049999995</v>
      </c>
      <c r="O12" s="96">
        <f>SUM(O13:O18)</f>
        <v>361540</v>
      </c>
      <c r="P12" s="96">
        <f>P15+P18</f>
        <v>313751.48</v>
      </c>
    </row>
    <row r="13" spans="1:16" hidden="1" x14ac:dyDescent="0.25">
      <c r="A13" s="63">
        <v>352</v>
      </c>
      <c r="B13" s="64" t="s">
        <v>117</v>
      </c>
      <c r="C13" s="65"/>
      <c r="D13" s="65"/>
      <c r="E13" s="65"/>
      <c r="F13" s="66"/>
      <c r="G13" s="67"/>
      <c r="H13" s="67"/>
      <c r="I13" s="67"/>
      <c r="J13" s="67">
        <v>0</v>
      </c>
      <c r="K13" s="67">
        <v>100000</v>
      </c>
      <c r="L13" s="77">
        <v>21708.36</v>
      </c>
      <c r="M13" s="77">
        <f t="shared" si="0"/>
        <v>2881.1945052757314</v>
      </c>
      <c r="N13" s="77">
        <v>1412.56</v>
      </c>
      <c r="O13" s="97">
        <v>0</v>
      </c>
      <c r="P13" s="96"/>
    </row>
    <row r="14" spans="1:16" hidden="1" x14ac:dyDescent="0.25">
      <c r="A14" s="63">
        <v>352</v>
      </c>
      <c r="B14" s="64" t="s">
        <v>118</v>
      </c>
      <c r="C14" s="65"/>
      <c r="D14" s="65"/>
      <c r="E14" s="65"/>
      <c r="F14" s="66"/>
      <c r="G14" s="67"/>
      <c r="H14" s="67"/>
      <c r="I14" s="67"/>
      <c r="J14" s="67">
        <v>329065.40000000002</v>
      </c>
      <c r="K14" s="67">
        <v>329000</v>
      </c>
      <c r="L14" s="77">
        <v>961777.17</v>
      </c>
      <c r="M14" s="77">
        <f t="shared" si="0"/>
        <v>127649.76707147123</v>
      </c>
      <c r="N14" s="77">
        <v>28207</v>
      </c>
      <c r="O14" s="97">
        <v>0</v>
      </c>
      <c r="P14" s="96"/>
    </row>
    <row r="15" spans="1:16" x14ac:dyDescent="0.25">
      <c r="A15" s="63">
        <v>352</v>
      </c>
      <c r="B15" s="64" t="s">
        <v>129</v>
      </c>
      <c r="C15" s="65"/>
      <c r="D15" s="65"/>
      <c r="E15" s="65"/>
      <c r="F15" s="66"/>
      <c r="G15" s="67"/>
      <c r="H15" s="67"/>
      <c r="I15" s="67">
        <v>0</v>
      </c>
      <c r="J15" s="67">
        <v>3714352.5</v>
      </c>
      <c r="K15" s="67">
        <v>511199.8</v>
      </c>
      <c r="L15" s="77">
        <v>889920</v>
      </c>
      <c r="M15" s="77">
        <f t="shared" si="0"/>
        <v>118112.68166434401</v>
      </c>
      <c r="N15" s="67">
        <f>900000*0.4</f>
        <v>360000</v>
      </c>
      <c r="O15" s="103">
        <f>271200+8700</f>
        <v>279900</v>
      </c>
      <c r="P15" s="103">
        <f>56246.62*4</f>
        <v>224986.48</v>
      </c>
    </row>
    <row r="16" spans="1:16" hidden="1" x14ac:dyDescent="0.25">
      <c r="A16" s="63">
        <v>352</v>
      </c>
      <c r="B16" s="64" t="s">
        <v>115</v>
      </c>
      <c r="C16" s="65"/>
      <c r="D16" s="65"/>
      <c r="E16" s="65"/>
      <c r="F16" s="66"/>
      <c r="G16" s="67"/>
      <c r="H16" s="67"/>
      <c r="I16" s="67"/>
      <c r="J16" s="67">
        <v>0</v>
      </c>
      <c r="K16" s="67">
        <v>132000</v>
      </c>
      <c r="L16" s="77">
        <f>11000*6.5+1200</f>
        <v>72700</v>
      </c>
      <c r="M16" s="77">
        <f t="shared" si="0"/>
        <v>9648.9481717433137</v>
      </c>
      <c r="N16" s="67">
        <v>0</v>
      </c>
      <c r="O16" s="103">
        <v>0</v>
      </c>
      <c r="P16" s="103"/>
    </row>
    <row r="17" spans="1:16" hidden="1" x14ac:dyDescent="0.25">
      <c r="A17" s="63">
        <v>352</v>
      </c>
      <c r="B17" s="64" t="s">
        <v>130</v>
      </c>
      <c r="C17" s="65"/>
      <c r="D17" s="65"/>
      <c r="E17" s="65"/>
      <c r="F17" s="66"/>
      <c r="G17" s="67"/>
      <c r="H17" s="67"/>
      <c r="I17" s="67"/>
      <c r="J17" s="67"/>
      <c r="K17" s="67"/>
      <c r="L17" s="77"/>
      <c r="M17" s="77">
        <v>0</v>
      </c>
      <c r="N17" s="67">
        <f>1890602.35*0.2*0.15</f>
        <v>56718.070500000002</v>
      </c>
      <c r="O17" s="103">
        <v>0</v>
      </c>
      <c r="P17" s="103"/>
    </row>
    <row r="18" spans="1:16" x14ac:dyDescent="0.25">
      <c r="A18" s="63">
        <v>352</v>
      </c>
      <c r="B18" s="64" t="s">
        <v>130</v>
      </c>
      <c r="C18" s="65"/>
      <c r="D18" s="65"/>
      <c r="E18" s="65"/>
      <c r="F18" s="66"/>
      <c r="G18" s="67"/>
      <c r="H18" s="67"/>
      <c r="I18" s="67"/>
      <c r="J18" s="67"/>
      <c r="K18" s="67"/>
      <c r="L18" s="77"/>
      <c r="M18" s="77">
        <v>0</v>
      </c>
      <c r="N18" s="67">
        <v>47265.1</v>
      </c>
      <c r="O18" s="103">
        <f>20410*4</f>
        <v>81640</v>
      </c>
      <c r="P18" s="103">
        <v>88765</v>
      </c>
    </row>
    <row r="19" spans="1:16" x14ac:dyDescent="0.25">
      <c r="A19" s="30">
        <v>36</v>
      </c>
      <c r="B19" s="5" t="s">
        <v>20</v>
      </c>
      <c r="C19" s="25">
        <v>0</v>
      </c>
      <c r="D19" s="25">
        <v>0</v>
      </c>
      <c r="E19" s="25">
        <v>0</v>
      </c>
      <c r="F19" s="25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f t="shared" si="0"/>
        <v>0</v>
      </c>
      <c r="N19" s="7">
        <v>0</v>
      </c>
      <c r="O19" s="96">
        <v>0</v>
      </c>
      <c r="P19" s="96">
        <v>0</v>
      </c>
    </row>
    <row r="20" spans="1:16" x14ac:dyDescent="0.25">
      <c r="A20" s="30"/>
      <c r="B20" s="5" t="s">
        <v>21</v>
      </c>
      <c r="C20" s="26">
        <v>210049</v>
      </c>
      <c r="D20" s="26">
        <f t="shared" ref="D20:K20" si="1">D7+D9+D11</f>
        <v>289840.89</v>
      </c>
      <c r="E20" s="26">
        <f t="shared" si="1"/>
        <v>252116.38</v>
      </c>
      <c r="F20" s="26">
        <f t="shared" si="1"/>
        <v>256915.38</v>
      </c>
      <c r="G20" s="8">
        <f t="shared" si="1"/>
        <v>335426.89</v>
      </c>
      <c r="H20" s="8">
        <f t="shared" si="1"/>
        <v>359265.7</v>
      </c>
      <c r="I20" s="8">
        <f t="shared" si="1"/>
        <v>359265.7</v>
      </c>
      <c r="J20" s="8">
        <f t="shared" si="1"/>
        <v>4077917.9</v>
      </c>
      <c r="K20" s="8">
        <f t="shared" si="1"/>
        <v>1106699.8</v>
      </c>
      <c r="L20" s="8">
        <f>L11</f>
        <v>1946105.53</v>
      </c>
      <c r="M20" s="8">
        <f t="shared" si="0"/>
        <v>258292.5914128343</v>
      </c>
      <c r="N20" s="8">
        <f>N7+N9+N11</f>
        <v>493602.73049999995</v>
      </c>
      <c r="O20" s="95">
        <f>O7+O9+O11</f>
        <v>362542</v>
      </c>
      <c r="P20" s="95">
        <f>P11</f>
        <v>313751.48</v>
      </c>
    </row>
    <row r="21" spans="1:16" x14ac:dyDescent="0.25">
      <c r="A21" s="30"/>
      <c r="B21" s="15" t="s">
        <v>22</v>
      </c>
      <c r="C21" s="9">
        <v>0</v>
      </c>
      <c r="D21" s="25">
        <v>0</v>
      </c>
      <c r="E21" s="25">
        <v>0</v>
      </c>
      <c r="F21" s="25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f t="shared" si="0"/>
        <v>0</v>
      </c>
      <c r="N21" s="7">
        <v>0</v>
      </c>
      <c r="O21" s="96">
        <v>0</v>
      </c>
      <c r="P21" s="96">
        <v>0</v>
      </c>
    </row>
    <row r="22" spans="1:16" x14ac:dyDescent="0.25">
      <c r="A22" s="30">
        <v>31</v>
      </c>
      <c r="B22" s="2" t="s">
        <v>23</v>
      </c>
      <c r="C22" s="25">
        <v>0</v>
      </c>
      <c r="D22" s="25">
        <v>0</v>
      </c>
      <c r="E22" s="25">
        <v>0</v>
      </c>
      <c r="F22" s="25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f t="shared" si="0"/>
        <v>0</v>
      </c>
      <c r="N22" s="7">
        <v>0</v>
      </c>
      <c r="O22" s="96">
        <v>0</v>
      </c>
      <c r="P22" s="96">
        <v>0</v>
      </c>
    </row>
    <row r="23" spans="1:16" x14ac:dyDescent="0.25">
      <c r="A23" s="30"/>
      <c r="B23" s="5" t="s">
        <v>24</v>
      </c>
      <c r="C23" s="26">
        <v>0</v>
      </c>
      <c r="D23" s="25">
        <v>0</v>
      </c>
      <c r="E23" s="25">
        <v>0</v>
      </c>
      <c r="F23" s="25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f t="shared" si="0"/>
        <v>0</v>
      </c>
      <c r="N23" s="7">
        <v>0</v>
      </c>
      <c r="O23" s="96">
        <v>0</v>
      </c>
      <c r="P23" s="96">
        <v>0</v>
      </c>
    </row>
    <row r="24" spans="1:16" x14ac:dyDescent="0.25">
      <c r="A24" s="30"/>
      <c r="B24" s="5" t="s">
        <v>25</v>
      </c>
      <c r="C24" s="8">
        <v>210049</v>
      </c>
      <c r="D24" s="8">
        <f>D20+D23</f>
        <v>289840.89</v>
      </c>
      <c r="E24" s="8">
        <f t="shared" ref="E24:J24" si="2">E20</f>
        <v>252116.38</v>
      </c>
      <c r="F24" s="26">
        <f t="shared" si="2"/>
        <v>256915.38</v>
      </c>
      <c r="G24" s="8">
        <f t="shared" si="2"/>
        <v>335426.89</v>
      </c>
      <c r="H24" s="8">
        <f t="shared" si="2"/>
        <v>359265.7</v>
      </c>
      <c r="I24" s="8">
        <f t="shared" si="2"/>
        <v>359265.7</v>
      </c>
      <c r="J24" s="8">
        <f t="shared" si="2"/>
        <v>4077917.9</v>
      </c>
      <c r="K24" s="8">
        <f>K20</f>
        <v>1106699.8</v>
      </c>
      <c r="L24" s="8">
        <f>L20</f>
        <v>1946105.53</v>
      </c>
      <c r="M24" s="8">
        <f t="shared" si="0"/>
        <v>258292.5914128343</v>
      </c>
      <c r="N24" s="8">
        <f>N20+N23</f>
        <v>493602.73049999995</v>
      </c>
      <c r="O24" s="95">
        <f>O20</f>
        <v>362542</v>
      </c>
      <c r="P24" s="95">
        <f>P20</f>
        <v>313751.48</v>
      </c>
    </row>
    <row r="25" spans="1:16" x14ac:dyDescent="0.25">
      <c r="A25" s="23" t="s">
        <v>26</v>
      </c>
      <c r="B25" s="23"/>
      <c r="C25" s="50"/>
      <c r="D25" s="51"/>
      <c r="E25" s="51"/>
      <c r="F25" s="51"/>
      <c r="G25" s="49"/>
      <c r="H25" s="57"/>
      <c r="I25" s="48"/>
      <c r="J25" s="57"/>
      <c r="K25" s="48"/>
      <c r="L25" s="48"/>
      <c r="M25" s="48"/>
      <c r="N25" s="48"/>
      <c r="O25" s="98"/>
      <c r="P25" s="98"/>
    </row>
    <row r="26" spans="1:16" x14ac:dyDescent="0.25">
      <c r="A26" s="5"/>
      <c r="B26" s="5" t="s">
        <v>27</v>
      </c>
      <c r="C26" s="7"/>
      <c r="D26" s="7"/>
      <c r="E26" s="7"/>
      <c r="F26" s="25"/>
      <c r="G26" s="7"/>
      <c r="H26" s="7"/>
      <c r="I26" s="7"/>
      <c r="J26" s="7"/>
      <c r="K26" s="7"/>
      <c r="L26" s="7"/>
      <c r="M26" s="7"/>
      <c r="N26" s="7"/>
      <c r="O26" s="96"/>
      <c r="P26" s="96"/>
    </row>
    <row r="27" spans="1:16" x14ac:dyDescent="0.25">
      <c r="A27" s="30">
        <v>41</v>
      </c>
      <c r="B27" s="5" t="s">
        <v>28</v>
      </c>
      <c r="C27" s="8">
        <v>131767</v>
      </c>
      <c r="D27" s="26">
        <v>220920</v>
      </c>
      <c r="E27" s="26">
        <f>156022.05+3004.21+45.29+43.86+45.29+45.59+45.29</f>
        <v>159251.57999999999</v>
      </c>
      <c r="F27" s="26">
        <f>SUM(F28:F29)</f>
        <v>181252.6</v>
      </c>
      <c r="G27" s="8">
        <f>SUM(G28:G29)</f>
        <v>270471.89999999997</v>
      </c>
      <c r="H27" s="8">
        <f>H28+H29</f>
        <v>269295.76000000007</v>
      </c>
      <c r="I27" s="8">
        <f>I28+I29</f>
        <v>269295.76000000007</v>
      </c>
      <c r="J27" s="8">
        <f>J28+J29+J32</f>
        <v>3660495.7600000002</v>
      </c>
      <c r="K27" s="8">
        <f>SUM(K28:K32)</f>
        <v>785199.8</v>
      </c>
      <c r="L27" s="8">
        <f>L28+L29</f>
        <v>1215607.6400000001</v>
      </c>
      <c r="M27" s="8">
        <f t="shared" si="0"/>
        <v>161338.85991107573</v>
      </c>
      <c r="N27" s="8">
        <f>N28</f>
        <v>346221.5</v>
      </c>
      <c r="O27" s="95">
        <f>O28+O29</f>
        <v>376521.5</v>
      </c>
      <c r="P27" s="95">
        <f>P28</f>
        <v>360541.48</v>
      </c>
    </row>
    <row r="28" spans="1:16" x14ac:dyDescent="0.25">
      <c r="A28" s="30">
        <v>41</v>
      </c>
      <c r="B28" s="32" t="s">
        <v>29</v>
      </c>
      <c r="C28" s="33">
        <v>131767</v>
      </c>
      <c r="D28" s="36">
        <v>220920</v>
      </c>
      <c r="E28" s="36">
        <v>156022</v>
      </c>
      <c r="F28" s="36">
        <f>E28+11427+10574.07</f>
        <v>178023.07</v>
      </c>
      <c r="G28" s="7">
        <f>(11427+10574.07)*12</f>
        <v>264012.83999999997</v>
      </c>
      <c r="H28" s="7">
        <f>47539.11+640.43+3381.48+146462.64+12885.5+2883.23+2920.95+2924.1+2925.01+2925.84+2944.11+2944.11+2925.01+2884.1+2944.11+2789.73+2944+3000+11096.6+1114</f>
        <v>261074.06000000006</v>
      </c>
      <c r="I28" s="7">
        <f>47539.11+640.43+3381.48+146462.64+12885.5+2883.23+2920.95+2924.1+2925.01+2925.84+2944.11+2944.11+2925.01+2884.1+2944.11+2789.73+2944+3000+11096.6+1114</f>
        <v>261074.06000000006</v>
      </c>
      <c r="J28" s="7">
        <f>47539.11+640.43+3381.48+146462.64+12885.5+2883.23+2920.95+2924.1+2925.01+2925.84+2944.11+2944.11+2925.01+2884.1+2944.11+2789.73+2944+3000+11096.6+1114</f>
        <v>261074.06000000006</v>
      </c>
      <c r="K28" s="7">
        <v>0</v>
      </c>
      <c r="L28" s="7">
        <f>SUM(L30:L34)</f>
        <v>1205607.6400000001</v>
      </c>
      <c r="M28" s="7">
        <f t="shared" si="0"/>
        <v>160011.63182692946</v>
      </c>
      <c r="N28" s="7">
        <f>SUM(N30:N35)</f>
        <v>346221.5</v>
      </c>
      <c r="O28" s="96">
        <f>SUM(O30:O35)</f>
        <v>376521.5</v>
      </c>
      <c r="P28" s="96">
        <f>SUM(P32:P35)</f>
        <v>360541.48</v>
      </c>
    </row>
    <row r="29" spans="1:16" hidden="1" x14ac:dyDescent="0.25">
      <c r="A29" s="30">
        <v>41</v>
      </c>
      <c r="B29" s="32" t="s">
        <v>30</v>
      </c>
      <c r="C29" s="33">
        <v>0</v>
      </c>
      <c r="D29" s="36">
        <v>0</v>
      </c>
      <c r="E29" s="36">
        <f>3004.21+45.29+43.86+45.29+45.59+45.29</f>
        <v>3229.53</v>
      </c>
      <c r="F29" s="36">
        <v>3229.53</v>
      </c>
      <c r="G29" s="7">
        <f>3229.53*2</f>
        <v>6459.06</v>
      </c>
      <c r="H29" s="7">
        <f>7648.1+22.64+21.93+22.79+21.93+22.64+22.64+45.29+56.61+45.29+43.86+56.99+11.32+11.4+11.32+11.32+21.93+10.97+10.97+11.4+11.4+11.32+11.18+11.18+11.32+11.32+11.32+11.32</f>
        <v>8221.6999999999989</v>
      </c>
      <c r="I29" s="7">
        <f>7648.1+22.64+21.93+22.79+21.93+22.64+22.64+45.29+56.61+45.29+43.86+56.99+11.32+11.4+11.32+11.32+21.93+10.97+10.97+11.4+11.4+11.32+11.18+11.18+11.32+11.32+11.32+11.32</f>
        <v>8221.6999999999989</v>
      </c>
      <c r="J29" s="7">
        <f>7648.1+22.64+21.93+22.79+21.93+22.64+22.64+45.29+56.61+45.29+43.86+56.99+11.32+11.4+11.32+11.32+21.93+10.97+10.97+11.4+11.4+11.32+11.18+11.18+11.32+11.32+11.32+11.32</f>
        <v>8221.6999999999989</v>
      </c>
      <c r="K29" s="76">
        <v>10000</v>
      </c>
      <c r="L29" s="76">
        <v>10000</v>
      </c>
      <c r="M29" s="76">
        <f t="shared" si="0"/>
        <v>1327.2280841462605</v>
      </c>
      <c r="N29" s="76">
        <v>0</v>
      </c>
      <c r="O29" s="99">
        <v>0</v>
      </c>
      <c r="P29" s="96">
        <v>0</v>
      </c>
    </row>
    <row r="30" spans="1:16" hidden="1" x14ac:dyDescent="0.25">
      <c r="A30" s="68">
        <v>41</v>
      </c>
      <c r="B30" s="64" t="s">
        <v>119</v>
      </c>
      <c r="C30" s="33"/>
      <c r="D30" s="36"/>
      <c r="E30" s="36"/>
      <c r="F30" s="36"/>
      <c r="G30" s="7"/>
      <c r="H30" s="7"/>
      <c r="I30" s="7"/>
      <c r="J30" s="7"/>
      <c r="K30" s="70">
        <v>100000</v>
      </c>
      <c r="L30" s="70">
        <v>0</v>
      </c>
      <c r="M30" s="70">
        <f t="shared" si="0"/>
        <v>0</v>
      </c>
      <c r="N30" s="70">
        <v>0</v>
      </c>
      <c r="O30" s="100">
        <v>0</v>
      </c>
      <c r="P30" s="96"/>
    </row>
    <row r="31" spans="1:16" hidden="1" x14ac:dyDescent="0.25">
      <c r="A31" s="68">
        <v>41</v>
      </c>
      <c r="B31" s="64" t="s">
        <v>120</v>
      </c>
      <c r="C31" s="33"/>
      <c r="D31" s="36"/>
      <c r="E31" s="36"/>
      <c r="F31" s="36"/>
      <c r="G31" s="7"/>
      <c r="H31" s="7"/>
      <c r="I31" s="7"/>
      <c r="J31" s="7"/>
      <c r="K31" s="70">
        <v>164000</v>
      </c>
      <c r="L31" s="70">
        <f>12000*12+10491.15*12+96478.44</f>
        <v>366372.24</v>
      </c>
      <c r="M31" s="70">
        <f t="shared" si="0"/>
        <v>48625.952617957395</v>
      </c>
      <c r="N31" s="70">
        <v>0</v>
      </c>
      <c r="O31" s="100">
        <v>0</v>
      </c>
      <c r="P31" s="96"/>
    </row>
    <row r="32" spans="1:16" x14ac:dyDescent="0.25">
      <c r="A32" s="68">
        <v>41</v>
      </c>
      <c r="B32" s="64" t="s">
        <v>121</v>
      </c>
      <c r="C32" s="69"/>
      <c r="D32" s="65"/>
      <c r="E32" s="65"/>
      <c r="F32" s="65"/>
      <c r="G32" s="67"/>
      <c r="H32" s="67"/>
      <c r="I32" s="67">
        <v>0</v>
      </c>
      <c r="J32" s="67">
        <v>3391200</v>
      </c>
      <c r="K32" s="70">
        <v>511199.8</v>
      </c>
      <c r="L32" s="70">
        <v>767735.4</v>
      </c>
      <c r="M32" s="70">
        <f t="shared" si="0"/>
        <v>101895.99840732629</v>
      </c>
      <c r="N32" s="70">
        <f>1500*20*9</f>
        <v>270000</v>
      </c>
      <c r="O32" s="100">
        <f>1130*20*12</f>
        <v>271200</v>
      </c>
      <c r="P32" s="100">
        <v>244650</v>
      </c>
    </row>
    <row r="33" spans="1:16" x14ac:dyDescent="0.25">
      <c r="A33" s="68">
        <v>41</v>
      </c>
      <c r="B33" s="64" t="s">
        <v>134</v>
      </c>
      <c r="C33" s="69"/>
      <c r="D33" s="65"/>
      <c r="E33" s="65"/>
      <c r="F33" s="65"/>
      <c r="G33" s="67"/>
      <c r="H33" s="67"/>
      <c r="I33" s="67"/>
      <c r="J33" s="67"/>
      <c r="K33" s="70"/>
      <c r="L33" s="70"/>
      <c r="M33" s="70">
        <v>0</v>
      </c>
      <c r="N33" s="70">
        <f>2700*3+600</f>
        <v>8700</v>
      </c>
      <c r="O33" s="100">
        <f>3150*12</f>
        <v>37800</v>
      </c>
      <c r="P33" s="100">
        <f>2260.54*12</f>
        <v>27126.48</v>
      </c>
    </row>
    <row r="34" spans="1:16" hidden="1" x14ac:dyDescent="0.25">
      <c r="A34" s="68">
        <v>41</v>
      </c>
      <c r="B34" s="64" t="s">
        <v>122</v>
      </c>
      <c r="C34" s="69"/>
      <c r="D34" s="65"/>
      <c r="E34" s="65"/>
      <c r="F34" s="65"/>
      <c r="G34" s="67"/>
      <c r="H34" s="67"/>
      <c r="I34" s="67"/>
      <c r="J34" s="67"/>
      <c r="K34" s="70">
        <f>K16</f>
        <v>132000</v>
      </c>
      <c r="L34" s="70">
        <f>11000*6.5</f>
        <v>71500</v>
      </c>
      <c r="M34" s="70">
        <f t="shared" si="0"/>
        <v>9489.6808016457617</v>
      </c>
      <c r="N34" s="70">
        <v>0</v>
      </c>
      <c r="O34" s="100">
        <v>0</v>
      </c>
      <c r="P34" s="100"/>
    </row>
    <row r="35" spans="1:16" ht="18" customHeight="1" x14ac:dyDescent="0.25">
      <c r="A35" s="86">
        <v>41</v>
      </c>
      <c r="B35" s="87" t="s">
        <v>135</v>
      </c>
      <c r="C35" s="88"/>
      <c r="D35" s="89"/>
      <c r="E35" s="89"/>
      <c r="F35" s="89"/>
      <c r="G35" s="90"/>
      <c r="H35" s="90"/>
      <c r="I35" s="90"/>
      <c r="J35" s="90"/>
      <c r="K35" s="91"/>
      <c r="L35" s="91"/>
      <c r="M35" s="91">
        <v>0</v>
      </c>
      <c r="N35" s="91">
        <v>67521.5</v>
      </c>
      <c r="O35" s="101">
        <v>67521.5</v>
      </c>
      <c r="P35" s="100">
        <f>(82000*0.0825)+82000</f>
        <v>88765</v>
      </c>
    </row>
    <row r="36" spans="1:16" x14ac:dyDescent="0.25">
      <c r="A36" s="30">
        <v>42</v>
      </c>
      <c r="B36" s="5" t="s">
        <v>31</v>
      </c>
      <c r="C36" s="8">
        <f>C37+C41+C44+C47+C57+C61</f>
        <v>54625</v>
      </c>
      <c r="D36" s="26">
        <f t="shared" ref="D36:I36" si="3">D37+D41+D47+D57+D61</f>
        <v>65392.81</v>
      </c>
      <c r="E36" s="26">
        <f t="shared" si="3"/>
        <v>37606.67</v>
      </c>
      <c r="F36" s="26">
        <f t="shared" si="3"/>
        <v>45863.210000000006</v>
      </c>
      <c r="G36" s="8">
        <f t="shared" si="3"/>
        <v>77092.81</v>
      </c>
      <c r="H36" s="8">
        <f t="shared" si="3"/>
        <v>39297.599999999999</v>
      </c>
      <c r="I36" s="8">
        <f t="shared" si="3"/>
        <v>39297.599999999999</v>
      </c>
      <c r="J36" s="8">
        <f t="shared" ref="J36:K36" si="4">J37+J41+J47+J57+J61</f>
        <v>362450.1</v>
      </c>
      <c r="K36" s="8">
        <f t="shared" si="4"/>
        <v>181174.38</v>
      </c>
      <c r="L36" s="8">
        <f>L37+L41+L47+L57+L61</f>
        <v>349300.86</v>
      </c>
      <c r="M36" s="8">
        <f t="shared" si="0"/>
        <v>46360.191120844116</v>
      </c>
      <c r="N36" s="8">
        <f>N37+N41+N47+N57+N61</f>
        <v>18305.8</v>
      </c>
      <c r="O36" s="95">
        <f>O37+O41+O47+O57+O61</f>
        <v>20615.8</v>
      </c>
      <c r="P36" s="95">
        <f>P37+P41+P47+P57+P61</f>
        <v>20800</v>
      </c>
    </row>
    <row r="37" spans="1:16" s="4" customFormat="1" x14ac:dyDescent="0.25">
      <c r="A37" s="15">
        <v>421</v>
      </c>
      <c r="B37" s="45" t="s">
        <v>32</v>
      </c>
      <c r="C37" s="8">
        <f>SUM(C39:C40)</f>
        <v>11679</v>
      </c>
      <c r="D37" s="26">
        <f>D39</f>
        <v>10000</v>
      </c>
      <c r="E37" s="26">
        <f>SUM(E38:E40)</f>
        <v>6137.2800000000007</v>
      </c>
      <c r="F37" s="26">
        <f>SUM(F38:F40)</f>
        <v>6325.2800000000007</v>
      </c>
      <c r="G37" s="8">
        <f>SUM(G38:G40)</f>
        <v>21300</v>
      </c>
      <c r="H37" s="8">
        <f>H38+H39+H40</f>
        <v>3826.4100000000003</v>
      </c>
      <c r="I37" s="8">
        <f>I38+I39+I40</f>
        <v>3826.4100000000003</v>
      </c>
      <c r="J37" s="8">
        <f>J38+J39+J40</f>
        <v>3826.4100000000003</v>
      </c>
      <c r="K37" s="8">
        <f>SUM(K38:K40)</f>
        <v>7300</v>
      </c>
      <c r="L37" s="8">
        <f>SUM(L38:L40)</f>
        <v>8200</v>
      </c>
      <c r="M37" s="8">
        <f t="shared" si="0"/>
        <v>1088.3270289999336</v>
      </c>
      <c r="N37" s="8">
        <f>SUM(N38:N40)</f>
        <v>2600</v>
      </c>
      <c r="O37" s="95">
        <v>2600</v>
      </c>
      <c r="P37" s="95">
        <v>2600</v>
      </c>
    </row>
    <row r="38" spans="1:16" x14ac:dyDescent="0.25">
      <c r="A38" s="30">
        <v>4210</v>
      </c>
      <c r="B38" s="32" t="s">
        <v>33</v>
      </c>
      <c r="C38" s="33">
        <v>0</v>
      </c>
      <c r="D38" s="36">
        <v>0</v>
      </c>
      <c r="E38" s="36">
        <v>303.14</v>
      </c>
      <c r="F38" s="36">
        <v>303.14</v>
      </c>
      <c r="G38" s="7">
        <v>300</v>
      </c>
      <c r="H38" s="7">
        <v>0</v>
      </c>
      <c r="I38" s="7">
        <v>0</v>
      </c>
      <c r="J38" s="7">
        <v>0</v>
      </c>
      <c r="K38" s="7">
        <v>2000</v>
      </c>
      <c r="L38" s="7">
        <v>2000</v>
      </c>
      <c r="M38" s="7">
        <f t="shared" si="0"/>
        <v>265.44561682925212</v>
      </c>
      <c r="N38" s="7">
        <f>50*12</f>
        <v>600</v>
      </c>
      <c r="O38" s="96">
        <v>600</v>
      </c>
      <c r="P38" s="96">
        <v>600</v>
      </c>
    </row>
    <row r="39" spans="1:16" x14ac:dyDescent="0.25">
      <c r="A39" s="31">
        <v>4211</v>
      </c>
      <c r="B39" s="32" t="s">
        <v>34</v>
      </c>
      <c r="C39" s="33">
        <v>7045</v>
      </c>
      <c r="D39" s="36">
        <v>10000</v>
      </c>
      <c r="E39" s="36">
        <f>858.5+281+3502.44+350+324.2</f>
        <v>5316.14</v>
      </c>
      <c r="F39" s="36">
        <v>5316.14</v>
      </c>
      <c r="G39" s="7">
        <v>20000</v>
      </c>
      <c r="H39" s="7">
        <f>260+700+2245.01+238+101.4</f>
        <v>3544.4100000000003</v>
      </c>
      <c r="I39" s="7">
        <f>260+700+2245.01+238+101.4</f>
        <v>3544.4100000000003</v>
      </c>
      <c r="J39" s="7">
        <f>260+700+2245.01+238+101.4</f>
        <v>3544.4100000000003</v>
      </c>
      <c r="K39" s="7">
        <v>5000</v>
      </c>
      <c r="L39" s="7">
        <v>5000</v>
      </c>
      <c r="M39" s="7">
        <f t="shared" si="0"/>
        <v>663.61404207313024</v>
      </c>
      <c r="N39" s="7">
        <v>2000</v>
      </c>
      <c r="O39" s="96">
        <v>2000</v>
      </c>
      <c r="P39" s="96">
        <v>2000</v>
      </c>
    </row>
    <row r="40" spans="1:16" x14ac:dyDescent="0.25">
      <c r="A40" s="31">
        <v>4212</v>
      </c>
      <c r="B40" s="32" t="s">
        <v>35</v>
      </c>
      <c r="C40" s="33">
        <v>4634</v>
      </c>
      <c r="D40" s="36">
        <v>0</v>
      </c>
      <c r="E40" s="36">
        <v>518</v>
      </c>
      <c r="F40" s="36">
        <f>E40+94+94</f>
        <v>706</v>
      </c>
      <c r="G40" s="7">
        <v>1000</v>
      </c>
      <c r="H40" s="7">
        <v>282</v>
      </c>
      <c r="I40" s="7">
        <v>282</v>
      </c>
      <c r="J40" s="7">
        <v>282</v>
      </c>
      <c r="K40" s="7">
        <v>300</v>
      </c>
      <c r="L40" s="7">
        <f>1200</f>
        <v>1200</v>
      </c>
      <c r="M40" s="7">
        <f t="shared" si="0"/>
        <v>159.26737009755126</v>
      </c>
      <c r="N40" s="7">
        <v>0</v>
      </c>
      <c r="O40" s="96">
        <v>0</v>
      </c>
      <c r="P40" s="96">
        <v>0</v>
      </c>
    </row>
    <row r="41" spans="1:16" s="4" customFormat="1" x14ac:dyDescent="0.25">
      <c r="A41" s="73">
        <v>422</v>
      </c>
      <c r="B41" s="45" t="s">
        <v>36</v>
      </c>
      <c r="C41" s="74">
        <f>SUM(C42:C43)</f>
        <v>6068</v>
      </c>
      <c r="D41" s="26">
        <f>D42</f>
        <v>19392.810000000001</v>
      </c>
      <c r="E41" s="26">
        <v>0</v>
      </c>
      <c r="F41" s="26">
        <f t="shared" ref="F41:K41" si="5">SUM(F42:F46)</f>
        <v>0</v>
      </c>
      <c r="G41" s="8">
        <f t="shared" si="5"/>
        <v>9392.81</v>
      </c>
      <c r="H41" s="8">
        <f t="shared" si="5"/>
        <v>0</v>
      </c>
      <c r="I41" s="8">
        <f t="shared" si="5"/>
        <v>0</v>
      </c>
      <c r="J41" s="8">
        <f t="shared" si="5"/>
        <v>0</v>
      </c>
      <c r="K41" s="8">
        <f t="shared" si="5"/>
        <v>15000</v>
      </c>
      <c r="L41" s="8">
        <f>SUM(L42:L46)</f>
        <v>15000</v>
      </c>
      <c r="M41" s="8">
        <f t="shared" si="0"/>
        <v>1990.8421262193906</v>
      </c>
      <c r="N41" s="8">
        <f>SUM(N42:N46)</f>
        <v>700</v>
      </c>
      <c r="O41" s="95">
        <f>SUM(O42:O46)</f>
        <v>2000</v>
      </c>
      <c r="P41" s="95">
        <f>SUM(P42:P46)</f>
        <v>2000</v>
      </c>
    </row>
    <row r="42" spans="1:16" x14ac:dyDescent="0.25">
      <c r="A42" s="31">
        <v>4222</v>
      </c>
      <c r="B42" s="32" t="s">
        <v>37</v>
      </c>
      <c r="C42" s="7">
        <v>3593</v>
      </c>
      <c r="D42" s="25">
        <v>19392.810000000001</v>
      </c>
      <c r="E42" s="25">
        <v>0</v>
      </c>
      <c r="F42" s="25">
        <v>0</v>
      </c>
      <c r="G42" s="7">
        <v>9392.81</v>
      </c>
      <c r="H42" s="7">
        <v>0</v>
      </c>
      <c r="I42" s="7">
        <v>0</v>
      </c>
      <c r="J42" s="7">
        <v>0</v>
      </c>
      <c r="K42" s="7">
        <v>10000</v>
      </c>
      <c r="L42" s="7">
        <v>10000</v>
      </c>
      <c r="M42" s="7">
        <f t="shared" si="0"/>
        <v>1327.2280841462605</v>
      </c>
      <c r="N42" s="7">
        <v>100</v>
      </c>
      <c r="O42" s="96">
        <v>0</v>
      </c>
      <c r="P42" s="96">
        <v>2000</v>
      </c>
    </row>
    <row r="43" spans="1:16" x14ac:dyDescent="0.25">
      <c r="A43" s="31">
        <v>4223</v>
      </c>
      <c r="B43" s="32" t="s">
        <v>38</v>
      </c>
      <c r="C43" s="7">
        <v>2475</v>
      </c>
      <c r="D43" s="25">
        <v>0</v>
      </c>
      <c r="E43" s="25">
        <v>0</v>
      </c>
      <c r="F43" s="25">
        <v>0</v>
      </c>
      <c r="G43" s="7">
        <v>0</v>
      </c>
      <c r="H43" s="7">
        <v>0</v>
      </c>
      <c r="I43" s="7">
        <v>0</v>
      </c>
      <c r="J43" s="7">
        <v>0</v>
      </c>
      <c r="K43" s="7">
        <v>5000</v>
      </c>
      <c r="L43" s="7">
        <v>5000</v>
      </c>
      <c r="M43" s="7">
        <f t="shared" si="0"/>
        <v>663.61404207313024</v>
      </c>
      <c r="N43" s="7">
        <v>600</v>
      </c>
      <c r="O43" s="96">
        <v>2000</v>
      </c>
      <c r="P43" s="96">
        <v>0</v>
      </c>
    </row>
    <row r="44" spans="1:16" x14ac:dyDescent="0.25">
      <c r="A44" s="31">
        <v>424</v>
      </c>
      <c r="B44" s="32" t="s">
        <v>39</v>
      </c>
      <c r="C44" s="7">
        <f>SUM(C45:C46)</f>
        <v>2541</v>
      </c>
      <c r="D44" s="25">
        <v>0</v>
      </c>
      <c r="E44" s="25">
        <v>0</v>
      </c>
      <c r="F44" s="25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f t="shared" si="0"/>
        <v>0</v>
      </c>
      <c r="N44" s="7">
        <v>0</v>
      </c>
      <c r="O44" s="96">
        <v>0</v>
      </c>
      <c r="P44" s="96">
        <v>0</v>
      </c>
    </row>
    <row r="45" spans="1:16" x14ac:dyDescent="0.25">
      <c r="A45" s="31">
        <v>4241</v>
      </c>
      <c r="B45" s="32" t="s">
        <v>40</v>
      </c>
      <c r="C45" s="7">
        <v>2325</v>
      </c>
      <c r="D45" s="25">
        <v>0</v>
      </c>
      <c r="E45" s="25">
        <v>0</v>
      </c>
      <c r="F45" s="25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f t="shared" si="0"/>
        <v>0</v>
      </c>
      <c r="N45" s="7">
        <v>0</v>
      </c>
      <c r="O45" s="96">
        <v>0</v>
      </c>
      <c r="P45" s="96">
        <v>0</v>
      </c>
    </row>
    <row r="46" spans="1:16" x14ac:dyDescent="0.25">
      <c r="A46" s="31">
        <v>4242</v>
      </c>
      <c r="B46" s="32" t="s">
        <v>41</v>
      </c>
      <c r="C46" s="7">
        <v>216</v>
      </c>
      <c r="D46" s="25">
        <v>0</v>
      </c>
      <c r="E46" s="25">
        <v>0</v>
      </c>
      <c r="F46" s="25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f t="shared" si="0"/>
        <v>0</v>
      </c>
      <c r="N46" s="7">
        <v>0</v>
      </c>
      <c r="O46" s="96">
        <v>0</v>
      </c>
      <c r="P46" s="96">
        <v>0</v>
      </c>
    </row>
    <row r="47" spans="1:16" s="4" customFormat="1" x14ac:dyDescent="0.25">
      <c r="A47" s="73">
        <v>425</v>
      </c>
      <c r="B47" s="45" t="s">
        <v>42</v>
      </c>
      <c r="C47" s="74">
        <f t="shared" ref="C47:I47" si="6">SUM(C48:C56)</f>
        <v>18941</v>
      </c>
      <c r="D47" s="26">
        <f t="shared" si="6"/>
        <v>22800</v>
      </c>
      <c r="E47" s="26">
        <f t="shared" si="6"/>
        <v>18333.59</v>
      </c>
      <c r="F47" s="26">
        <f t="shared" si="6"/>
        <v>20434.59</v>
      </c>
      <c r="G47" s="8">
        <f t="shared" si="6"/>
        <v>23500</v>
      </c>
      <c r="H47" s="8">
        <f t="shared" si="6"/>
        <v>21190.38</v>
      </c>
      <c r="I47" s="8">
        <f t="shared" si="6"/>
        <v>21190.38</v>
      </c>
      <c r="J47" s="8">
        <f>SUM(J48:J56)</f>
        <v>344342.88</v>
      </c>
      <c r="K47" s="8">
        <f>SUM(K48:K56)</f>
        <v>126355.38</v>
      </c>
      <c r="L47" s="8">
        <f>SUM(L48:L56)</f>
        <v>242855.36</v>
      </c>
      <c r="M47" s="8">
        <f t="shared" si="0"/>
        <v>32232.445417745035</v>
      </c>
      <c r="N47" s="8">
        <f>SUM(N48:N56)</f>
        <v>10305.799999999999</v>
      </c>
      <c r="O47" s="95">
        <f>SUM(O48:O56)</f>
        <v>11815.8</v>
      </c>
      <c r="P47" s="95">
        <f>SUM(P48:P56)</f>
        <v>6300</v>
      </c>
    </row>
    <row r="48" spans="1:16" x14ac:dyDescent="0.25">
      <c r="A48" s="31">
        <v>4251</v>
      </c>
      <c r="B48" s="32" t="s">
        <v>43</v>
      </c>
      <c r="C48" s="33">
        <v>2582</v>
      </c>
      <c r="D48" s="36">
        <v>1800</v>
      </c>
      <c r="E48" s="36">
        <v>1987.59</v>
      </c>
      <c r="F48" s="36">
        <f>E48+145</f>
        <v>2132.59</v>
      </c>
      <c r="G48" s="7">
        <v>2500</v>
      </c>
      <c r="H48" s="7">
        <f>5039.38+199+145</f>
        <v>5383.38</v>
      </c>
      <c r="I48" s="7">
        <f>5039.38+199+145</f>
        <v>5383.38</v>
      </c>
      <c r="J48" s="7">
        <f>5039.38+199+145</f>
        <v>5383.38</v>
      </c>
      <c r="K48" s="7">
        <v>5383.38</v>
      </c>
      <c r="L48" s="7">
        <f>5500+100000</f>
        <v>105500</v>
      </c>
      <c r="M48" s="7">
        <f t="shared" si="0"/>
        <v>14002.256287743048</v>
      </c>
      <c r="N48" s="7">
        <f>60*12+100</f>
        <v>820</v>
      </c>
      <c r="O48" s="96">
        <f>40*12+6000</f>
        <v>6480</v>
      </c>
      <c r="P48" s="96">
        <v>1000</v>
      </c>
    </row>
    <row r="49" spans="1:16" x14ac:dyDescent="0.25">
      <c r="A49" s="31">
        <v>4253</v>
      </c>
      <c r="B49" s="32" t="s">
        <v>44</v>
      </c>
      <c r="C49" s="33">
        <v>2656</v>
      </c>
      <c r="D49" s="36">
        <v>5000</v>
      </c>
      <c r="E49" s="36">
        <v>2250</v>
      </c>
      <c r="F49" s="36">
        <v>2250</v>
      </c>
      <c r="G49" s="7">
        <v>2500</v>
      </c>
      <c r="H49" s="7">
        <v>0</v>
      </c>
      <c r="I49" s="7">
        <v>0</v>
      </c>
      <c r="J49" s="7">
        <v>0</v>
      </c>
      <c r="K49" s="7">
        <v>20000</v>
      </c>
      <c r="L49" s="7">
        <f>21708.36</f>
        <v>21708.36</v>
      </c>
      <c r="M49" s="7">
        <f t="shared" si="0"/>
        <v>2881.1945052757314</v>
      </c>
      <c r="N49" s="7">
        <v>3000</v>
      </c>
      <c r="O49" s="96">
        <v>500</v>
      </c>
      <c r="P49" s="96">
        <v>500</v>
      </c>
    </row>
    <row r="50" spans="1:16" s="78" customFormat="1" x14ac:dyDescent="0.25">
      <c r="A50" s="79">
        <v>4253</v>
      </c>
      <c r="B50" s="80" t="s">
        <v>112</v>
      </c>
      <c r="C50" s="81"/>
      <c r="D50" s="82"/>
      <c r="E50" s="82"/>
      <c r="F50" s="82"/>
      <c r="G50" s="76"/>
      <c r="H50" s="76"/>
      <c r="I50" s="76">
        <v>0</v>
      </c>
      <c r="J50" s="76">
        <v>111152.5</v>
      </c>
      <c r="K50" s="76">
        <v>0</v>
      </c>
      <c r="L50" s="76">
        <f>2400+5150</f>
        <v>7550</v>
      </c>
      <c r="M50" s="76">
        <f t="shared" si="0"/>
        <v>1002.0572035304267</v>
      </c>
      <c r="N50" s="76">
        <v>0</v>
      </c>
      <c r="O50" s="99">
        <v>0</v>
      </c>
      <c r="P50" s="99">
        <v>500</v>
      </c>
    </row>
    <row r="51" spans="1:16" x14ac:dyDescent="0.25">
      <c r="A51" s="31">
        <v>4255</v>
      </c>
      <c r="B51" s="32" t="s">
        <v>45</v>
      </c>
      <c r="C51" s="33">
        <v>5016</v>
      </c>
      <c r="D51" s="36">
        <v>5500</v>
      </c>
      <c r="E51" s="36">
        <v>4716</v>
      </c>
      <c r="F51" s="36">
        <f>E51+456</f>
        <v>5172</v>
      </c>
      <c r="G51" s="7">
        <v>5500</v>
      </c>
      <c r="H51" s="7">
        <v>5472</v>
      </c>
      <c r="I51" s="7">
        <v>5472</v>
      </c>
      <c r="J51" s="7">
        <v>5472</v>
      </c>
      <c r="K51" s="7">
        <v>5472</v>
      </c>
      <c r="L51" s="7">
        <v>5472</v>
      </c>
      <c r="M51" s="7">
        <f t="shared" si="0"/>
        <v>726.25920764483374</v>
      </c>
      <c r="N51" s="7">
        <f>165.9*12</f>
        <v>1990.8000000000002</v>
      </c>
      <c r="O51" s="96">
        <v>1990.8</v>
      </c>
      <c r="P51" s="96">
        <v>1400</v>
      </c>
    </row>
    <row r="52" spans="1:16" x14ac:dyDescent="0.25">
      <c r="A52" s="31">
        <v>4256</v>
      </c>
      <c r="B52" s="32" t="s">
        <v>46</v>
      </c>
      <c r="C52" s="33">
        <v>0</v>
      </c>
      <c r="D52" s="36">
        <v>500</v>
      </c>
      <c r="E52" s="36">
        <v>0</v>
      </c>
      <c r="F52" s="36">
        <v>0</v>
      </c>
      <c r="G52" s="7">
        <v>0</v>
      </c>
      <c r="H52" s="7">
        <v>0</v>
      </c>
      <c r="I52" s="7">
        <v>0</v>
      </c>
      <c r="J52" s="7">
        <v>0</v>
      </c>
      <c r="K52" s="7">
        <v>10000</v>
      </c>
      <c r="L52" s="7">
        <v>10000</v>
      </c>
      <c r="M52" s="7">
        <f t="shared" si="0"/>
        <v>1327.2280841462605</v>
      </c>
      <c r="N52" s="7">
        <v>500</v>
      </c>
      <c r="O52" s="96">
        <v>500</v>
      </c>
      <c r="P52" s="96">
        <v>300</v>
      </c>
    </row>
    <row r="53" spans="1:16" x14ac:dyDescent="0.25">
      <c r="A53" s="31">
        <v>4257</v>
      </c>
      <c r="B53" s="32" t="s">
        <v>47</v>
      </c>
      <c r="C53" s="33">
        <v>8037</v>
      </c>
      <c r="D53" s="36">
        <v>10000</v>
      </c>
      <c r="E53" s="36">
        <f>47.5+182.5+7650</f>
        <v>7880</v>
      </c>
      <c r="F53" s="36">
        <f>E53+750+750</f>
        <v>9380</v>
      </c>
      <c r="G53" s="7">
        <v>10000</v>
      </c>
      <c r="H53" s="7">
        <f>172.5+9150+1000</f>
        <v>10322.5</v>
      </c>
      <c r="I53" s="7">
        <f>172.5+9150+1000</f>
        <v>10322.5</v>
      </c>
      <c r="J53" s="7">
        <f>172.5+9150+1000</f>
        <v>10322.5</v>
      </c>
      <c r="K53" s="7">
        <f>60000+15000+9500</f>
        <v>84500</v>
      </c>
      <c r="L53" s="7">
        <v>84500</v>
      </c>
      <c r="M53" s="7">
        <f t="shared" si="0"/>
        <v>11215.0773110359</v>
      </c>
      <c r="N53" s="7">
        <f>165*23</f>
        <v>3795</v>
      </c>
      <c r="O53" s="96">
        <f>165*13</f>
        <v>2145</v>
      </c>
      <c r="P53" s="96">
        <v>2000</v>
      </c>
    </row>
    <row r="54" spans="1:16" s="78" customFormat="1" x14ac:dyDescent="0.25">
      <c r="A54" s="83">
        <v>4257</v>
      </c>
      <c r="B54" s="84" t="s">
        <v>113</v>
      </c>
      <c r="C54" s="76"/>
      <c r="D54" s="85"/>
      <c r="E54" s="85"/>
      <c r="F54" s="85"/>
      <c r="G54" s="76"/>
      <c r="H54" s="76"/>
      <c r="I54" s="76">
        <v>0</v>
      </c>
      <c r="J54" s="76">
        <v>212000</v>
      </c>
      <c r="K54" s="76">
        <v>0</v>
      </c>
      <c r="L54" s="76">
        <f>7125</f>
        <v>7125</v>
      </c>
      <c r="M54" s="76">
        <f t="shared" si="0"/>
        <v>945.65000995421053</v>
      </c>
      <c r="N54" s="76">
        <v>0</v>
      </c>
      <c r="O54" s="99">
        <v>0</v>
      </c>
      <c r="P54" s="99">
        <v>0</v>
      </c>
    </row>
    <row r="55" spans="1:16" x14ac:dyDescent="0.25">
      <c r="A55" s="31">
        <v>4258</v>
      </c>
      <c r="B55" s="32" t="s">
        <v>48</v>
      </c>
      <c r="C55" s="33">
        <v>490</v>
      </c>
      <c r="D55" s="36">
        <v>0</v>
      </c>
      <c r="E55" s="36">
        <v>1500</v>
      </c>
      <c r="F55" s="36">
        <v>1500</v>
      </c>
      <c r="G55" s="7">
        <v>3000</v>
      </c>
      <c r="H55" s="7">
        <v>0</v>
      </c>
      <c r="I55" s="7">
        <v>0</v>
      </c>
      <c r="J55" s="7">
        <v>0</v>
      </c>
      <c r="K55" s="7">
        <v>1000</v>
      </c>
      <c r="L55" s="7">
        <v>1000</v>
      </c>
      <c r="M55" s="7">
        <f t="shared" si="0"/>
        <v>132.72280841462606</v>
      </c>
      <c r="N55" s="7">
        <v>100</v>
      </c>
      <c r="O55" s="96">
        <v>100</v>
      </c>
      <c r="P55" s="96">
        <v>100</v>
      </c>
    </row>
    <row r="56" spans="1:16" x14ac:dyDescent="0.25">
      <c r="A56" s="31">
        <v>4259</v>
      </c>
      <c r="B56" s="32" t="s">
        <v>49</v>
      </c>
      <c r="C56" s="33">
        <v>160</v>
      </c>
      <c r="D56" s="36">
        <v>0</v>
      </c>
      <c r="E56" s="36">
        <v>0</v>
      </c>
      <c r="F56" s="36">
        <v>0</v>
      </c>
      <c r="G56" s="7">
        <v>0</v>
      </c>
      <c r="H56" s="7">
        <v>12.5</v>
      </c>
      <c r="I56" s="7">
        <v>12.5</v>
      </c>
      <c r="J56" s="7">
        <v>12.5</v>
      </c>
      <c r="K56" s="7">
        <v>0</v>
      </c>
      <c r="L56" s="7">
        <v>0</v>
      </c>
      <c r="M56" s="7">
        <f t="shared" si="0"/>
        <v>0</v>
      </c>
      <c r="N56" s="7">
        <v>100</v>
      </c>
      <c r="O56" s="96">
        <v>100</v>
      </c>
      <c r="P56" s="96">
        <v>500</v>
      </c>
    </row>
    <row r="57" spans="1:16" s="4" customFormat="1" x14ac:dyDescent="0.25">
      <c r="A57" s="73">
        <v>426</v>
      </c>
      <c r="B57" s="45" t="s">
        <v>50</v>
      </c>
      <c r="C57" s="74">
        <f>SUM(C58:C59)</f>
        <v>2515</v>
      </c>
      <c r="D57" s="26">
        <f>SUM(D58:D59)</f>
        <v>3000</v>
      </c>
      <c r="E57" s="26">
        <f t="shared" ref="E57:J57" si="7">SUM(E58:E60)</f>
        <v>6565.6399999999994</v>
      </c>
      <c r="F57" s="26">
        <f t="shared" si="7"/>
        <v>10533.18</v>
      </c>
      <c r="G57" s="8">
        <f t="shared" si="7"/>
        <v>10500</v>
      </c>
      <c r="H57" s="8">
        <f t="shared" si="7"/>
        <v>7809.8200000000006</v>
      </c>
      <c r="I57" s="8">
        <f t="shared" si="7"/>
        <v>7809.8200000000006</v>
      </c>
      <c r="J57" s="8">
        <f t="shared" si="7"/>
        <v>7809.8200000000006</v>
      </c>
      <c r="K57" s="8">
        <f>SUM(K58:K60)</f>
        <v>12519</v>
      </c>
      <c r="L57" s="8">
        <f>SUM(L58:L60)</f>
        <v>63245.5</v>
      </c>
      <c r="M57" s="8">
        <f t="shared" si="0"/>
        <v>8394.1203795872316</v>
      </c>
      <c r="N57" s="8">
        <f>SUM(N58:N60)</f>
        <v>2100</v>
      </c>
      <c r="O57" s="95">
        <f>SUM(O58:O60)</f>
        <v>1600</v>
      </c>
      <c r="P57" s="95">
        <f>SUM(P58:P60)</f>
        <v>7100</v>
      </c>
    </row>
    <row r="58" spans="1:16" x14ac:dyDescent="0.25">
      <c r="A58" s="31">
        <v>4261</v>
      </c>
      <c r="B58" s="32" t="s">
        <v>51</v>
      </c>
      <c r="C58" s="33">
        <v>60</v>
      </c>
      <c r="D58" s="36">
        <v>500</v>
      </c>
      <c r="E58" s="36">
        <f>733+400</f>
        <v>1133</v>
      </c>
      <c r="F58" s="36">
        <f>E58+3662.5</f>
        <v>4795.5</v>
      </c>
      <c r="G58" s="7">
        <v>5000</v>
      </c>
      <c r="H58" s="7">
        <v>3074.5</v>
      </c>
      <c r="I58" s="7">
        <v>3074.5</v>
      </c>
      <c r="J58" s="7">
        <v>3074.5</v>
      </c>
      <c r="K58" s="7">
        <v>10000</v>
      </c>
      <c r="L58" s="7">
        <f>20000+38245.5</f>
        <v>58245.5</v>
      </c>
      <c r="M58" s="7">
        <f t="shared" si="0"/>
        <v>7730.5063375141017</v>
      </c>
      <c r="N58" s="7">
        <v>1500</v>
      </c>
      <c r="O58" s="96">
        <v>1000</v>
      </c>
      <c r="P58" s="95">
        <f>5500+1000</f>
        <v>6500</v>
      </c>
    </row>
    <row r="59" spans="1:16" x14ac:dyDescent="0.25">
      <c r="A59" s="31">
        <v>4263</v>
      </c>
      <c r="B59" s="32" t="s">
        <v>52</v>
      </c>
      <c r="C59" s="33">
        <v>2455</v>
      </c>
      <c r="D59" s="36">
        <v>2500</v>
      </c>
      <c r="E59" s="36">
        <f>2165.64</f>
        <v>2165.64</v>
      </c>
      <c r="F59" s="36">
        <f>E59+305.04</f>
        <v>2470.6799999999998</v>
      </c>
      <c r="G59" s="7">
        <v>2500</v>
      </c>
      <c r="H59" s="7">
        <v>2519.52</v>
      </c>
      <c r="I59" s="7">
        <v>2519.52</v>
      </c>
      <c r="J59" s="7">
        <v>2519.52</v>
      </c>
      <c r="K59" s="7">
        <v>2519</v>
      </c>
      <c r="L59" s="7">
        <v>5000</v>
      </c>
      <c r="M59" s="7">
        <f t="shared" si="0"/>
        <v>663.61404207313024</v>
      </c>
      <c r="N59" s="7">
        <v>600</v>
      </c>
      <c r="O59" s="96">
        <v>600</v>
      </c>
      <c r="P59" s="96">
        <v>600</v>
      </c>
    </row>
    <row r="60" spans="1:16" x14ac:dyDescent="0.25">
      <c r="A60" s="31">
        <v>4264</v>
      </c>
      <c r="B60" s="32" t="s">
        <v>53</v>
      </c>
      <c r="C60" s="33">
        <v>0</v>
      </c>
      <c r="D60" s="36">
        <v>0</v>
      </c>
      <c r="E60" s="36">
        <v>3267</v>
      </c>
      <c r="F60" s="36">
        <v>3267</v>
      </c>
      <c r="G60" s="7">
        <v>3000</v>
      </c>
      <c r="H60" s="7">
        <v>2215.8000000000002</v>
      </c>
      <c r="I60" s="7">
        <v>2215.8000000000002</v>
      </c>
      <c r="J60" s="7">
        <v>2215.8000000000002</v>
      </c>
      <c r="K60" s="7">
        <v>0</v>
      </c>
      <c r="L60" s="7">
        <v>0</v>
      </c>
      <c r="M60" s="7">
        <f t="shared" si="0"/>
        <v>0</v>
      </c>
      <c r="N60" s="7">
        <v>0</v>
      </c>
      <c r="O60" s="96">
        <v>0</v>
      </c>
      <c r="P60" s="96">
        <v>0</v>
      </c>
    </row>
    <row r="61" spans="1:16" s="4" customFormat="1" x14ac:dyDescent="0.25">
      <c r="A61" s="73">
        <v>429</v>
      </c>
      <c r="B61" s="45" t="s">
        <v>54</v>
      </c>
      <c r="C61" s="74">
        <f t="shared" ref="C61:I61" si="8">SUM(C62:C65)</f>
        <v>12881</v>
      </c>
      <c r="D61" s="26">
        <f t="shared" si="8"/>
        <v>10200</v>
      </c>
      <c r="E61" s="26">
        <f t="shared" si="8"/>
        <v>6570.16</v>
      </c>
      <c r="F61" s="26">
        <f t="shared" si="8"/>
        <v>8570.16</v>
      </c>
      <c r="G61" s="8">
        <f t="shared" si="8"/>
        <v>12400</v>
      </c>
      <c r="H61" s="8">
        <f t="shared" si="8"/>
        <v>6470.99</v>
      </c>
      <c r="I61" s="8">
        <f t="shared" si="8"/>
        <v>6470.99</v>
      </c>
      <c r="J61" s="8">
        <f t="shared" ref="J61" si="9">SUM(J62:J65)</f>
        <v>6470.99</v>
      </c>
      <c r="K61" s="8">
        <f>SUM(K62:K65)</f>
        <v>20000</v>
      </c>
      <c r="L61" s="8">
        <f>SUM(L62:L65)</f>
        <v>20000</v>
      </c>
      <c r="M61" s="8">
        <f t="shared" si="0"/>
        <v>2654.4561682925209</v>
      </c>
      <c r="N61" s="8">
        <f>SUM(N62:N65)</f>
        <v>2600</v>
      </c>
      <c r="O61" s="95">
        <f>SUM(O62:O65)</f>
        <v>2600</v>
      </c>
      <c r="P61" s="95">
        <f>SUM(P62:P65)</f>
        <v>2800</v>
      </c>
    </row>
    <row r="62" spans="1:16" x14ac:dyDescent="0.25">
      <c r="A62" s="31">
        <v>4292</v>
      </c>
      <c r="B62" s="32" t="s">
        <v>55</v>
      </c>
      <c r="C62" s="33">
        <v>10480</v>
      </c>
      <c r="D62" s="36">
        <v>6000</v>
      </c>
      <c r="E62" s="36">
        <v>4230.16</v>
      </c>
      <c r="F62" s="25">
        <f>E62+2000</f>
        <v>6230.16</v>
      </c>
      <c r="G62" s="7">
        <v>10000</v>
      </c>
      <c r="H62" s="7">
        <f>3460.99+3000</f>
        <v>6460.99</v>
      </c>
      <c r="I62" s="7">
        <f>3460.99+3000</f>
        <v>6460.99</v>
      </c>
      <c r="J62" s="7">
        <f>3460.99+3000</f>
        <v>6460.99</v>
      </c>
      <c r="K62" s="7">
        <v>20000</v>
      </c>
      <c r="L62" s="7">
        <v>20000</v>
      </c>
      <c r="M62" s="7">
        <f t="shared" si="0"/>
        <v>2654.4561682925209</v>
      </c>
      <c r="N62" s="7">
        <v>2600</v>
      </c>
      <c r="O62" s="96">
        <v>2600</v>
      </c>
      <c r="P62" s="96">
        <v>2600</v>
      </c>
    </row>
    <row r="63" spans="1:16" x14ac:dyDescent="0.25">
      <c r="A63" s="31">
        <v>4293</v>
      </c>
      <c r="B63" s="32" t="s">
        <v>15</v>
      </c>
      <c r="C63" s="33">
        <v>2200</v>
      </c>
      <c r="D63" s="36">
        <v>2200</v>
      </c>
      <c r="E63" s="36">
        <v>2200</v>
      </c>
      <c r="F63" s="25">
        <v>2200</v>
      </c>
      <c r="G63" s="7">
        <v>2200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f t="shared" si="0"/>
        <v>0</v>
      </c>
      <c r="N63" s="7">
        <v>0</v>
      </c>
      <c r="O63" s="96">
        <v>0</v>
      </c>
      <c r="P63" s="96">
        <v>0</v>
      </c>
    </row>
    <row r="64" spans="1:16" x14ac:dyDescent="0.25">
      <c r="A64" s="31">
        <v>4294</v>
      </c>
      <c r="B64" s="32" t="s">
        <v>56</v>
      </c>
      <c r="C64" s="33">
        <v>200</v>
      </c>
      <c r="D64" s="36">
        <v>0</v>
      </c>
      <c r="E64" s="36">
        <v>140</v>
      </c>
      <c r="F64" s="25">
        <v>140</v>
      </c>
      <c r="G64" s="7">
        <v>200</v>
      </c>
      <c r="H64" s="7">
        <v>10</v>
      </c>
      <c r="I64" s="7">
        <v>10</v>
      </c>
      <c r="J64" s="7">
        <v>10</v>
      </c>
      <c r="K64" s="7">
        <v>0</v>
      </c>
      <c r="L64" s="7">
        <v>0</v>
      </c>
      <c r="M64" s="7">
        <f t="shared" si="0"/>
        <v>0</v>
      </c>
      <c r="N64" s="7">
        <v>0</v>
      </c>
      <c r="O64" s="96">
        <v>0</v>
      </c>
      <c r="P64" s="96">
        <v>0</v>
      </c>
    </row>
    <row r="65" spans="1:16" x14ac:dyDescent="0.25">
      <c r="A65" s="31">
        <v>4295</v>
      </c>
      <c r="B65" s="32" t="s">
        <v>57</v>
      </c>
      <c r="C65" s="33">
        <v>1</v>
      </c>
      <c r="D65" s="36">
        <v>2000</v>
      </c>
      <c r="E65" s="36">
        <v>0</v>
      </c>
      <c r="F65" s="25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f t="shared" si="0"/>
        <v>0</v>
      </c>
      <c r="N65" s="7">
        <v>0</v>
      </c>
      <c r="O65" s="96">
        <v>0</v>
      </c>
      <c r="P65" s="96">
        <v>200</v>
      </c>
    </row>
    <row r="66" spans="1:16" s="4" customFormat="1" x14ac:dyDescent="0.25">
      <c r="A66" s="15">
        <v>43</v>
      </c>
      <c r="B66" s="5" t="s">
        <v>58</v>
      </c>
      <c r="C66" s="8">
        <v>7842</v>
      </c>
      <c r="D66" s="26">
        <v>7000</v>
      </c>
      <c r="E66" s="26">
        <v>0</v>
      </c>
      <c r="F66" s="26">
        <f>7430+1550</f>
        <v>8980</v>
      </c>
      <c r="G66" s="8">
        <v>8980</v>
      </c>
      <c r="H66" s="8">
        <f>2724.85+176.22</f>
        <v>2901.0699999999997</v>
      </c>
      <c r="I66" s="8">
        <f>2724.85+176.22</f>
        <v>2901.0699999999997</v>
      </c>
      <c r="J66" s="8">
        <f>2724.85+176.22</f>
        <v>2901.0699999999997</v>
      </c>
      <c r="K66" s="8">
        <v>2901.07</v>
      </c>
      <c r="L66" s="8">
        <v>2901.07</v>
      </c>
      <c r="M66" s="8">
        <f t="shared" si="0"/>
        <v>385.03815780741922</v>
      </c>
      <c r="N66" s="8">
        <v>400</v>
      </c>
      <c r="O66" s="95">
        <v>400</v>
      </c>
      <c r="P66" s="95">
        <v>400</v>
      </c>
    </row>
    <row r="67" spans="1:16" s="4" customFormat="1" x14ac:dyDescent="0.25">
      <c r="A67" s="15">
        <v>44</v>
      </c>
      <c r="B67" s="5" t="s">
        <v>59</v>
      </c>
      <c r="C67" s="8">
        <f>SUM(C69:C70)</f>
        <v>2302</v>
      </c>
      <c r="D67" s="26">
        <v>2100</v>
      </c>
      <c r="E67" s="26">
        <f t="shared" ref="E67:J67" si="10">SUM(E68:E70)</f>
        <v>2897.0699999999997</v>
      </c>
      <c r="F67" s="26">
        <f t="shared" si="10"/>
        <v>3139.33</v>
      </c>
      <c r="G67" s="8">
        <f t="shared" si="10"/>
        <v>3100</v>
      </c>
      <c r="H67" s="8">
        <f t="shared" si="10"/>
        <v>2477.96</v>
      </c>
      <c r="I67" s="8">
        <f t="shared" si="10"/>
        <v>2477.96</v>
      </c>
      <c r="J67" s="8">
        <f t="shared" si="10"/>
        <v>2477.96</v>
      </c>
      <c r="K67" s="8">
        <f>SUM(K68:K70)</f>
        <v>9362.42</v>
      </c>
      <c r="L67" s="8">
        <f>SUM(L68:L70)</f>
        <v>2200</v>
      </c>
      <c r="M67" s="8">
        <f t="shared" si="0"/>
        <v>291.99017851217729</v>
      </c>
      <c r="N67" s="8">
        <v>300</v>
      </c>
      <c r="O67" s="95">
        <v>300</v>
      </c>
      <c r="P67" s="95">
        <v>300</v>
      </c>
    </row>
    <row r="68" spans="1:16" x14ac:dyDescent="0.25">
      <c r="A68" s="30">
        <v>4423</v>
      </c>
      <c r="B68" s="32" t="s">
        <v>60</v>
      </c>
      <c r="C68" s="33">
        <v>0</v>
      </c>
      <c r="D68" s="36">
        <v>0</v>
      </c>
      <c r="E68" s="36">
        <v>32.74</v>
      </c>
      <c r="F68" s="36">
        <v>32.74</v>
      </c>
      <c r="G68" s="7">
        <v>0</v>
      </c>
      <c r="H68" s="7">
        <f>135.35+153.24+27.95</f>
        <v>316.54000000000002</v>
      </c>
      <c r="I68" s="7">
        <f>135.35+153.24+27.95</f>
        <v>316.54000000000002</v>
      </c>
      <c r="J68" s="7">
        <f>135.35+153.24+27.95</f>
        <v>316.54000000000002</v>
      </c>
      <c r="K68" s="7">
        <f>120000*0.06</f>
        <v>7200</v>
      </c>
      <c r="L68" s="7">
        <v>0</v>
      </c>
      <c r="M68" s="7">
        <f t="shared" si="0"/>
        <v>0</v>
      </c>
      <c r="N68" s="7">
        <v>0</v>
      </c>
      <c r="O68" s="96">
        <v>0</v>
      </c>
      <c r="P68" s="96">
        <v>0</v>
      </c>
    </row>
    <row r="69" spans="1:16" x14ac:dyDescent="0.25">
      <c r="A69" s="30">
        <v>4431</v>
      </c>
      <c r="B69" s="32" t="s">
        <v>61</v>
      </c>
      <c r="C69" s="33">
        <v>2242</v>
      </c>
      <c r="D69" s="36">
        <v>2100</v>
      </c>
      <c r="E69" s="36">
        <v>2864.33</v>
      </c>
      <c r="F69" s="36">
        <f>E69+242.26</f>
        <v>3106.59</v>
      </c>
      <c r="G69" s="7">
        <v>3100</v>
      </c>
      <c r="H69" s="7">
        <f>2011.42+150</f>
        <v>2161.42</v>
      </c>
      <c r="I69" s="7">
        <f>2011.42+150</f>
        <v>2161.42</v>
      </c>
      <c r="J69" s="7">
        <f>2011.42+150</f>
        <v>2161.42</v>
      </c>
      <c r="K69" s="7">
        <v>2162.42</v>
      </c>
      <c r="L69" s="7">
        <v>2200</v>
      </c>
      <c r="M69" s="7">
        <f t="shared" si="0"/>
        <v>291.99017851217729</v>
      </c>
      <c r="N69" s="7">
        <v>300</v>
      </c>
      <c r="O69" s="96">
        <v>300</v>
      </c>
      <c r="P69" s="96">
        <v>300</v>
      </c>
    </row>
    <row r="70" spans="1:16" x14ac:dyDescent="0.25">
      <c r="A70" s="30">
        <v>4432</v>
      </c>
      <c r="B70" s="32" t="s">
        <v>62</v>
      </c>
      <c r="C70" s="33">
        <v>60</v>
      </c>
      <c r="D70" s="36">
        <v>0</v>
      </c>
      <c r="E70" s="36">
        <v>0</v>
      </c>
      <c r="F70" s="36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f t="shared" si="0"/>
        <v>0</v>
      </c>
      <c r="N70" s="7">
        <v>0</v>
      </c>
      <c r="O70" s="96">
        <v>0</v>
      </c>
      <c r="P70" s="96">
        <v>0</v>
      </c>
    </row>
    <row r="71" spans="1:16" s="4" customFormat="1" x14ac:dyDescent="0.25">
      <c r="A71" s="15">
        <v>46</v>
      </c>
      <c r="B71" s="5" t="s">
        <v>63</v>
      </c>
      <c r="C71" s="8">
        <v>0</v>
      </c>
      <c r="D71" s="26">
        <v>4000</v>
      </c>
      <c r="E71" s="26">
        <v>0</v>
      </c>
      <c r="F71" s="26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f t="shared" si="0"/>
        <v>0</v>
      </c>
      <c r="N71" s="8">
        <v>0</v>
      </c>
      <c r="O71" s="95">
        <v>0</v>
      </c>
      <c r="P71" s="95">
        <v>200</v>
      </c>
    </row>
    <row r="72" spans="1:16" x14ac:dyDescent="0.25">
      <c r="A72" s="30"/>
      <c r="B72" s="5" t="s">
        <v>21</v>
      </c>
      <c r="C72" s="8">
        <f>C27+C36+C66+C67</f>
        <v>196536</v>
      </c>
      <c r="D72" s="26">
        <f>D27+D36+D66+D67+D71</f>
        <v>299412.81</v>
      </c>
      <c r="E72" s="26">
        <f>E27+E36+E66+E67</f>
        <v>199755.32</v>
      </c>
      <c r="F72" s="26">
        <f>F27+F36+F66+F67</f>
        <v>239235.13999999998</v>
      </c>
      <c r="G72" s="8">
        <f>G27+G36+G66+G67</f>
        <v>359644.70999999996</v>
      </c>
      <c r="H72" s="8">
        <f>H27+H36+H66+H67+H71</f>
        <v>313972.39000000007</v>
      </c>
      <c r="I72" s="8">
        <f>I27+I36+I66+I67+I71</f>
        <v>313972.39000000007</v>
      </c>
      <c r="J72" s="8">
        <f>J27+J36+J66+J67+J71</f>
        <v>4028324.89</v>
      </c>
      <c r="K72" s="8">
        <f>K27+K36+K66+K67+K71</f>
        <v>978637.67</v>
      </c>
      <c r="L72" s="8">
        <f>L27+L36+L66+L67+L71</f>
        <v>1570009.57</v>
      </c>
      <c r="M72" s="8">
        <f t="shared" si="0"/>
        <v>208376.07936823944</v>
      </c>
      <c r="N72" s="8">
        <f>N27+N36+N66+N67+N71</f>
        <v>365227.3</v>
      </c>
      <c r="O72" s="95">
        <f>O27+O36</f>
        <v>397137.3</v>
      </c>
      <c r="P72" s="95">
        <f>P27+P36+P66+P67+P71</f>
        <v>382241.48</v>
      </c>
    </row>
    <row r="73" spans="1:16" x14ac:dyDescent="0.25">
      <c r="A73" s="30"/>
      <c r="B73" s="24" t="s">
        <v>64</v>
      </c>
      <c r="F73" s="25"/>
      <c r="G73" s="7"/>
      <c r="H73" s="7"/>
      <c r="I73" s="7"/>
      <c r="J73" s="7"/>
      <c r="K73" s="7"/>
      <c r="L73" s="7"/>
      <c r="M73" s="7">
        <f t="shared" si="0"/>
        <v>0</v>
      </c>
      <c r="N73" s="7">
        <v>0</v>
      </c>
      <c r="O73" s="96">
        <v>0</v>
      </c>
      <c r="P73" s="96">
        <v>0</v>
      </c>
    </row>
    <row r="74" spans="1:16" hidden="1" x14ac:dyDescent="0.25">
      <c r="A74" s="30">
        <v>41</v>
      </c>
      <c r="B74" s="2" t="s">
        <v>65</v>
      </c>
      <c r="C74" s="7">
        <v>0</v>
      </c>
      <c r="D74" s="25">
        <v>0</v>
      </c>
      <c r="E74" s="25">
        <v>0</v>
      </c>
      <c r="F74" s="25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f t="shared" ref="M74:M91" si="11">L74/7.5345</f>
        <v>0</v>
      </c>
      <c r="N74" s="7">
        <v>0</v>
      </c>
      <c r="O74" s="96">
        <v>0</v>
      </c>
      <c r="P74" s="96"/>
    </row>
    <row r="75" spans="1:16" hidden="1" x14ac:dyDescent="0.25">
      <c r="A75" s="30">
        <v>41</v>
      </c>
      <c r="B75" s="2" t="s">
        <v>66</v>
      </c>
      <c r="C75" s="7">
        <v>0</v>
      </c>
      <c r="D75" s="25">
        <v>0</v>
      </c>
      <c r="E75" s="25">
        <v>0</v>
      </c>
      <c r="F75" s="25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f t="shared" si="11"/>
        <v>0</v>
      </c>
      <c r="N75" s="7">
        <v>0</v>
      </c>
      <c r="O75" s="96">
        <v>0</v>
      </c>
      <c r="P75" s="96"/>
    </row>
    <row r="76" spans="1:16" hidden="1" x14ac:dyDescent="0.25">
      <c r="A76" s="30">
        <v>42</v>
      </c>
      <c r="B76" s="2" t="s">
        <v>67</v>
      </c>
      <c r="C76" s="7">
        <v>0</v>
      </c>
      <c r="D76" s="25">
        <v>0</v>
      </c>
      <c r="E76" s="25">
        <v>0</v>
      </c>
      <c r="F76" s="25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f t="shared" si="11"/>
        <v>0</v>
      </c>
      <c r="N76" s="7">
        <v>0</v>
      </c>
      <c r="O76" s="96">
        <v>0</v>
      </c>
      <c r="P76" s="96"/>
    </row>
    <row r="77" spans="1:16" hidden="1" x14ac:dyDescent="0.25">
      <c r="A77" s="30">
        <v>42</v>
      </c>
      <c r="B77" s="2" t="s">
        <v>68</v>
      </c>
      <c r="C77" s="7">
        <v>0</v>
      </c>
      <c r="D77" s="25">
        <v>0</v>
      </c>
      <c r="E77" s="25">
        <v>0</v>
      </c>
      <c r="F77" s="25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f t="shared" si="11"/>
        <v>0</v>
      </c>
      <c r="N77" s="7">
        <v>0</v>
      </c>
      <c r="O77" s="96">
        <v>0</v>
      </c>
      <c r="P77" s="96"/>
    </row>
    <row r="78" spans="1:16" hidden="1" x14ac:dyDescent="0.25">
      <c r="A78" s="30">
        <v>43</v>
      </c>
      <c r="B78" s="2" t="s">
        <v>69</v>
      </c>
      <c r="C78" s="7">
        <v>0</v>
      </c>
      <c r="D78" s="25">
        <v>0</v>
      </c>
      <c r="E78" s="25">
        <v>0</v>
      </c>
      <c r="F78" s="25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f t="shared" si="11"/>
        <v>0</v>
      </c>
      <c r="N78" s="7">
        <v>0</v>
      </c>
      <c r="O78" s="96">
        <v>0</v>
      </c>
      <c r="P78" s="96"/>
    </row>
    <row r="79" spans="1:16" hidden="1" x14ac:dyDescent="0.25">
      <c r="A79" s="30">
        <v>43</v>
      </c>
      <c r="B79" s="2" t="s">
        <v>70</v>
      </c>
      <c r="C79" s="7">
        <v>0</v>
      </c>
      <c r="D79" s="25">
        <v>0</v>
      </c>
      <c r="E79" s="25">
        <v>0</v>
      </c>
      <c r="F79" s="25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f t="shared" si="11"/>
        <v>0</v>
      </c>
      <c r="N79" s="7">
        <v>0</v>
      </c>
      <c r="O79" s="96">
        <v>0</v>
      </c>
      <c r="P79" s="96"/>
    </row>
    <row r="80" spans="1:16" hidden="1" x14ac:dyDescent="0.25">
      <c r="A80" s="30">
        <v>44</v>
      </c>
      <c r="B80" s="2" t="s">
        <v>71</v>
      </c>
      <c r="C80" s="7">
        <v>0</v>
      </c>
      <c r="D80" s="25">
        <v>0</v>
      </c>
      <c r="E80" s="25">
        <v>0</v>
      </c>
      <c r="F80" s="25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f t="shared" si="11"/>
        <v>0</v>
      </c>
      <c r="N80" s="7">
        <v>0</v>
      </c>
      <c r="O80" s="96">
        <v>0</v>
      </c>
      <c r="P80" s="96"/>
    </row>
    <row r="81" spans="1:17" hidden="1" x14ac:dyDescent="0.25">
      <c r="A81" s="30">
        <v>44</v>
      </c>
      <c r="B81" s="2" t="s">
        <v>72</v>
      </c>
      <c r="C81" s="7">
        <v>0</v>
      </c>
      <c r="D81" s="25">
        <v>0</v>
      </c>
      <c r="E81" s="25">
        <v>0</v>
      </c>
      <c r="F81" s="25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f t="shared" si="11"/>
        <v>0</v>
      </c>
      <c r="N81" s="7">
        <v>0</v>
      </c>
      <c r="O81" s="96">
        <v>0</v>
      </c>
      <c r="P81" s="96"/>
    </row>
    <row r="82" spans="1:17" hidden="1" x14ac:dyDescent="0.25">
      <c r="A82" s="30">
        <v>46</v>
      </c>
      <c r="B82" s="2" t="s">
        <v>73</v>
      </c>
      <c r="C82" s="7">
        <v>0</v>
      </c>
      <c r="D82" s="25">
        <v>0</v>
      </c>
      <c r="E82" s="25">
        <v>0</v>
      </c>
      <c r="F82" s="25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f t="shared" si="11"/>
        <v>0</v>
      </c>
      <c r="N82" s="7">
        <v>0</v>
      </c>
      <c r="O82" s="96">
        <v>0</v>
      </c>
      <c r="P82" s="96"/>
    </row>
    <row r="83" spans="1:17" s="4" customFormat="1" x14ac:dyDescent="0.25">
      <c r="A83" s="5"/>
      <c r="B83" s="5" t="s">
        <v>24</v>
      </c>
      <c r="C83" s="8">
        <v>0</v>
      </c>
      <c r="D83" s="26">
        <v>0</v>
      </c>
      <c r="E83" s="26">
        <v>0</v>
      </c>
      <c r="F83" s="26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f t="shared" si="11"/>
        <v>0</v>
      </c>
      <c r="N83" s="8">
        <v>0</v>
      </c>
      <c r="O83" s="95">
        <v>0</v>
      </c>
      <c r="P83" s="95">
        <v>0</v>
      </c>
    </row>
    <row r="84" spans="1:17" s="4" customFormat="1" x14ac:dyDescent="0.25">
      <c r="A84" s="5"/>
      <c r="B84" s="5" t="s">
        <v>74</v>
      </c>
      <c r="C84" s="8">
        <v>196536</v>
      </c>
      <c r="D84" s="26">
        <f t="shared" ref="D84:I84" si="12">D72</f>
        <v>299412.81</v>
      </c>
      <c r="E84" s="26">
        <f t="shared" si="12"/>
        <v>199755.32</v>
      </c>
      <c r="F84" s="26">
        <f t="shared" si="12"/>
        <v>239235.13999999998</v>
      </c>
      <c r="G84" s="8">
        <f t="shared" si="12"/>
        <v>359644.70999999996</v>
      </c>
      <c r="H84" s="8">
        <f t="shared" si="12"/>
        <v>313972.39000000007</v>
      </c>
      <c r="I84" s="8">
        <f t="shared" si="12"/>
        <v>313972.39000000007</v>
      </c>
      <c r="J84" s="8">
        <f t="shared" ref="J84:K84" si="13">J72</f>
        <v>4028324.89</v>
      </c>
      <c r="K84" s="8">
        <f t="shared" si="13"/>
        <v>978637.67</v>
      </c>
      <c r="L84" s="8">
        <f>L72</f>
        <v>1570009.57</v>
      </c>
      <c r="M84" s="8">
        <f t="shared" si="11"/>
        <v>208376.07936823944</v>
      </c>
      <c r="N84" s="8">
        <f>N72</f>
        <v>365227.3</v>
      </c>
      <c r="O84" s="95">
        <f>O72</f>
        <v>397137.3</v>
      </c>
      <c r="P84" s="95">
        <f>P72</f>
        <v>382241.48</v>
      </c>
    </row>
    <row r="85" spans="1:17" s="4" customFormat="1" x14ac:dyDescent="0.25">
      <c r="A85" s="6"/>
      <c r="B85" s="6" t="s">
        <v>75</v>
      </c>
      <c r="C85" s="44">
        <v>210049</v>
      </c>
      <c r="D85" s="71">
        <f t="shared" ref="D85:L85" si="14">D24</f>
        <v>289840.89</v>
      </c>
      <c r="E85" s="72">
        <f t="shared" si="14"/>
        <v>252116.38</v>
      </c>
      <c r="F85" s="72">
        <f t="shared" si="14"/>
        <v>256915.38</v>
      </c>
      <c r="G85" s="8">
        <f t="shared" si="14"/>
        <v>335426.89</v>
      </c>
      <c r="H85" s="8">
        <f t="shared" si="14"/>
        <v>359265.7</v>
      </c>
      <c r="I85" s="47">
        <f t="shared" si="14"/>
        <v>359265.7</v>
      </c>
      <c r="J85" s="62">
        <f t="shared" si="14"/>
        <v>4077917.9</v>
      </c>
      <c r="K85" s="47">
        <f t="shared" si="14"/>
        <v>1106699.8</v>
      </c>
      <c r="L85" s="47">
        <f t="shared" si="14"/>
        <v>1946105.53</v>
      </c>
      <c r="M85" s="47">
        <f t="shared" si="11"/>
        <v>258292.5914128343</v>
      </c>
      <c r="N85" s="47">
        <f>N24</f>
        <v>493602.73049999995</v>
      </c>
      <c r="O85" s="94">
        <f>O24</f>
        <v>362542</v>
      </c>
      <c r="P85" s="94">
        <f>P24</f>
        <v>313751.48</v>
      </c>
    </row>
    <row r="86" spans="1:17" s="4" customFormat="1" x14ac:dyDescent="0.25">
      <c r="A86" s="6"/>
      <c r="B86" s="6" t="s">
        <v>76</v>
      </c>
      <c r="C86" s="34">
        <f>C72</f>
        <v>196536</v>
      </c>
      <c r="D86" s="71">
        <f>D72</f>
        <v>299412.81</v>
      </c>
      <c r="E86" s="72">
        <f>E72</f>
        <v>199755.32</v>
      </c>
      <c r="F86" s="72">
        <f>F84</f>
        <v>239235.13999999998</v>
      </c>
      <c r="G86" s="8">
        <f>G84</f>
        <v>359644.70999999996</v>
      </c>
      <c r="H86" s="8">
        <f>H72</f>
        <v>313972.39000000007</v>
      </c>
      <c r="I86" s="47">
        <f>I72</f>
        <v>313972.39000000007</v>
      </c>
      <c r="J86" s="62">
        <f>J72</f>
        <v>4028324.89</v>
      </c>
      <c r="K86" s="47">
        <f>K72</f>
        <v>978637.67</v>
      </c>
      <c r="L86" s="47">
        <f>L84</f>
        <v>1570009.57</v>
      </c>
      <c r="M86" s="47">
        <f t="shared" si="11"/>
        <v>208376.07936823944</v>
      </c>
      <c r="N86" s="47">
        <f>N84</f>
        <v>365227.3</v>
      </c>
      <c r="O86" s="94">
        <f>O84</f>
        <v>397137.3</v>
      </c>
      <c r="P86" s="94">
        <f>P84</f>
        <v>382241.48</v>
      </c>
      <c r="Q86" s="104"/>
    </row>
    <row r="87" spans="1:17" s="4" customFormat="1" x14ac:dyDescent="0.25">
      <c r="A87" s="6"/>
      <c r="B87" s="6" t="s">
        <v>77</v>
      </c>
      <c r="C87" s="34">
        <f t="shared" ref="C87:I87" si="15">C85-C86</f>
        <v>13513</v>
      </c>
      <c r="D87" s="71">
        <f t="shared" si="15"/>
        <v>-9571.9199999999837</v>
      </c>
      <c r="E87" s="72">
        <f t="shared" si="15"/>
        <v>52361.06</v>
      </c>
      <c r="F87" s="72">
        <f t="shared" si="15"/>
        <v>17680.24000000002</v>
      </c>
      <c r="G87" s="8">
        <f t="shared" si="15"/>
        <v>-24217.819999999949</v>
      </c>
      <c r="H87" s="8">
        <f t="shared" si="15"/>
        <v>45293.309999999939</v>
      </c>
      <c r="I87" s="47">
        <f t="shared" si="15"/>
        <v>45293.309999999939</v>
      </c>
      <c r="J87" s="62">
        <f t="shared" ref="J87:K87" si="16">J85-J86</f>
        <v>49593.009999999776</v>
      </c>
      <c r="K87" s="47">
        <f t="shared" si="16"/>
        <v>128062.13</v>
      </c>
      <c r="L87" s="47">
        <f>L84</f>
        <v>1570009.57</v>
      </c>
      <c r="M87" s="47">
        <f t="shared" si="11"/>
        <v>208376.07936823944</v>
      </c>
      <c r="N87" s="47">
        <f>N85-N86</f>
        <v>128375.43049999996</v>
      </c>
      <c r="O87" s="94">
        <f>O85-O86</f>
        <v>-34595.299999999988</v>
      </c>
      <c r="P87" s="94">
        <f>P85-P86</f>
        <v>-68490</v>
      </c>
    </row>
    <row r="88" spans="1:17" s="4" customFormat="1" x14ac:dyDescent="0.25">
      <c r="A88" s="6"/>
      <c r="B88" s="6" t="s">
        <v>78</v>
      </c>
      <c r="C88" s="34">
        <v>32094</v>
      </c>
      <c r="D88" s="71">
        <v>40022.6</v>
      </c>
      <c r="E88" s="72">
        <v>32094</v>
      </c>
      <c r="F88" s="72">
        <v>32094</v>
      </c>
      <c r="G88" s="8">
        <f>F89</f>
        <v>49774.24000000002</v>
      </c>
      <c r="H88" s="8">
        <v>22195</v>
      </c>
      <c r="I88" s="47">
        <f>H89</f>
        <v>67488.309999999939</v>
      </c>
      <c r="J88" s="62">
        <f>I89</f>
        <v>112781.61999999988</v>
      </c>
      <c r="K88" s="47">
        <v>0</v>
      </c>
      <c r="L88" s="47">
        <f>168411.6+45421.7</f>
        <v>213833.3</v>
      </c>
      <c r="M88" s="47">
        <f t="shared" si="11"/>
        <v>28380.556108567253</v>
      </c>
      <c r="N88" s="47">
        <f>38302.74+21042.81-41.25-500</f>
        <v>58804.3</v>
      </c>
      <c r="O88" s="94">
        <f>81478.88+82526.06</f>
        <v>164004.94</v>
      </c>
      <c r="P88" s="94">
        <f>61608.14+83500</f>
        <v>145108.14000000001</v>
      </c>
    </row>
    <row r="89" spans="1:17" s="4" customFormat="1" x14ac:dyDescent="0.25">
      <c r="A89" s="6"/>
      <c r="B89" s="6" t="s">
        <v>79</v>
      </c>
      <c r="C89" s="34">
        <f t="shared" ref="C89:I89" si="17">C87+C88</f>
        <v>45607</v>
      </c>
      <c r="D89" s="71">
        <f t="shared" si="17"/>
        <v>30450.680000000015</v>
      </c>
      <c r="E89" s="72">
        <f t="shared" si="17"/>
        <v>84455.06</v>
      </c>
      <c r="F89" s="72">
        <f t="shared" si="17"/>
        <v>49774.24000000002</v>
      </c>
      <c r="G89" s="8">
        <f t="shared" si="17"/>
        <v>25556.420000000071</v>
      </c>
      <c r="H89" s="8">
        <f t="shared" si="17"/>
        <v>67488.309999999939</v>
      </c>
      <c r="I89" s="47">
        <f t="shared" si="17"/>
        <v>112781.61999999988</v>
      </c>
      <c r="J89" s="62">
        <f t="shared" ref="J89:K89" si="18">J87+J88</f>
        <v>162374.62999999966</v>
      </c>
      <c r="K89" s="47">
        <f t="shared" si="18"/>
        <v>128062.13</v>
      </c>
      <c r="L89" s="47">
        <f>L85+L88-L86</f>
        <v>589929.26</v>
      </c>
      <c r="M89" s="47">
        <f t="shared" si="11"/>
        <v>78297.068153162123</v>
      </c>
      <c r="N89" s="47">
        <f>N87+N88</f>
        <v>187179.73049999995</v>
      </c>
      <c r="O89" s="94">
        <f>O87+O88</f>
        <v>129409.64000000001</v>
      </c>
      <c r="P89" s="94">
        <f>P85-P86+P88</f>
        <v>76618.140000000014</v>
      </c>
    </row>
    <row r="90" spans="1:17" x14ac:dyDescent="0.25">
      <c r="A90" s="6" t="s">
        <v>80</v>
      </c>
      <c r="B90" s="6"/>
      <c r="C90" s="47"/>
      <c r="D90" s="48"/>
      <c r="E90" s="48"/>
      <c r="F90" s="37"/>
      <c r="G90" s="48"/>
      <c r="H90" s="57"/>
      <c r="I90" s="48"/>
      <c r="J90" s="57"/>
      <c r="K90" s="48"/>
      <c r="L90" s="48"/>
      <c r="M90" s="47">
        <v>0</v>
      </c>
      <c r="N90" s="47">
        <f>N91+N92</f>
        <v>23900</v>
      </c>
      <c r="O90" s="94">
        <v>0</v>
      </c>
      <c r="P90" s="98">
        <v>0</v>
      </c>
    </row>
    <row r="91" spans="1:17" x14ac:dyDescent="0.25">
      <c r="A91" s="46" t="s">
        <v>131</v>
      </c>
      <c r="B91" s="2" t="s">
        <v>81</v>
      </c>
      <c r="C91" s="8">
        <v>0</v>
      </c>
      <c r="D91" s="7">
        <v>0</v>
      </c>
      <c r="E91" s="7">
        <v>4312.5</v>
      </c>
      <c r="F91" s="7">
        <f>4312.5+15500</f>
        <v>19812.5</v>
      </c>
      <c r="G91" s="7">
        <v>10000</v>
      </c>
      <c r="H91" s="7">
        <v>0</v>
      </c>
      <c r="I91" s="7">
        <v>0</v>
      </c>
      <c r="J91" s="7">
        <v>0</v>
      </c>
      <c r="K91" s="7">
        <v>10000</v>
      </c>
      <c r="L91" s="7"/>
      <c r="M91" s="7">
        <f t="shared" si="11"/>
        <v>0</v>
      </c>
      <c r="N91" s="7">
        <f>3*1300</f>
        <v>3900</v>
      </c>
      <c r="O91" s="96">
        <v>0</v>
      </c>
      <c r="P91" s="96">
        <v>0</v>
      </c>
    </row>
    <row r="92" spans="1:17" x14ac:dyDescent="0.25">
      <c r="A92" s="46" t="s">
        <v>132</v>
      </c>
      <c r="B92" s="2" t="s">
        <v>133</v>
      </c>
      <c r="C92" s="8"/>
      <c r="D92" s="7"/>
      <c r="E92" s="7"/>
      <c r="F92" s="7"/>
      <c r="G92" s="7"/>
      <c r="H92" s="7"/>
      <c r="I92" s="7"/>
      <c r="J92" s="7"/>
      <c r="K92" s="7"/>
      <c r="L92" s="7"/>
      <c r="M92" s="7">
        <v>0</v>
      </c>
      <c r="N92" s="7">
        <v>20000</v>
      </c>
      <c r="O92" s="96">
        <v>0</v>
      </c>
      <c r="P92" s="96">
        <v>0</v>
      </c>
    </row>
    <row r="93" spans="1:17" x14ac:dyDescent="0.25">
      <c r="A93" s="4"/>
      <c r="B93" s="4"/>
      <c r="C93" s="43"/>
      <c r="I93" s="1"/>
    </row>
    <row r="94" spans="1:17" x14ac:dyDescent="0.25">
      <c r="A94" s="1" t="s">
        <v>82</v>
      </c>
      <c r="C94" s="1"/>
      <c r="I94" s="1"/>
    </row>
    <row r="95" spans="1:17" x14ac:dyDescent="0.25">
      <c r="A95" s="1" t="s">
        <v>83</v>
      </c>
      <c r="C95" s="1"/>
      <c r="I95" s="1"/>
    </row>
    <row r="96" spans="1:17" x14ac:dyDescent="0.25">
      <c r="A96" s="1" t="s">
        <v>84</v>
      </c>
      <c r="C96" s="1"/>
      <c r="I96" s="1"/>
    </row>
    <row r="97" spans="1:13" x14ac:dyDescent="0.25">
      <c r="C97" s="1"/>
      <c r="I97" s="1"/>
    </row>
    <row r="98" spans="1:13" x14ac:dyDescent="0.25">
      <c r="A98" s="1" t="s">
        <v>142</v>
      </c>
      <c r="C98" s="1"/>
      <c r="I98" s="1"/>
    </row>
    <row r="99" spans="1:13" x14ac:dyDescent="0.25">
      <c r="A99" s="1" t="s">
        <v>151</v>
      </c>
      <c r="B99"/>
      <c r="C99" s="1"/>
      <c r="I99" s="1"/>
      <c r="J99" s="59" t="s">
        <v>123</v>
      </c>
    </row>
    <row r="100" spans="1:13" x14ac:dyDescent="0.25">
      <c r="C100" s="9" t="s">
        <v>85</v>
      </c>
      <c r="J100" s="59" t="s">
        <v>126</v>
      </c>
      <c r="M100" s="9" t="s">
        <v>123</v>
      </c>
    </row>
    <row r="101" spans="1:13" x14ac:dyDescent="0.25">
      <c r="C101" s="9" t="s">
        <v>86</v>
      </c>
      <c r="F101" s="9" t="s">
        <v>85</v>
      </c>
      <c r="M101" s="59" t="s">
        <v>137</v>
      </c>
    </row>
    <row r="102" spans="1:13" x14ac:dyDescent="0.25">
      <c r="F102" s="9" t="s">
        <v>86</v>
      </c>
      <c r="H102" s="59" t="s">
        <v>85</v>
      </c>
    </row>
    <row r="103" spans="1:13" x14ac:dyDescent="0.25">
      <c r="H103" s="59" t="s">
        <v>86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rowBreaks count="3" manualBreakCount="3">
    <brk id="24" max="14" man="1"/>
    <brk id="56" max="14" man="1"/>
    <brk id="89" max="14" man="1"/>
  </rowBreaks>
  <ignoredErrors>
    <ignoredError sqref="O28 O61:P61" formulaRange="1"/>
    <ignoredError sqref="O27 O7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"/>
  <sheetViews>
    <sheetView zoomScaleNormal="100" workbookViewId="0">
      <selection activeCell="C18" sqref="C18:C19"/>
    </sheetView>
  </sheetViews>
  <sheetFormatPr defaultRowHeight="15.75" x14ac:dyDescent="0.25"/>
  <cols>
    <col min="1" max="1" width="52.42578125" style="13" bestFit="1" customWidth="1"/>
    <col min="2" max="3" width="9.42578125" style="1" bestFit="1" customWidth="1"/>
    <col min="4" max="4" width="13.140625" style="1" customWidth="1"/>
    <col min="5" max="5" width="11.85546875" style="1" customWidth="1"/>
    <col min="6" max="6" width="14.140625" style="1" bestFit="1" customWidth="1"/>
    <col min="7" max="9" width="9.42578125" style="1" bestFit="1" customWidth="1"/>
    <col min="10" max="10" width="8" style="1" bestFit="1" customWidth="1"/>
    <col min="11" max="12" width="9.42578125" style="1" bestFit="1" customWidth="1"/>
    <col min="13" max="13" width="9.28515625" style="1" bestFit="1" customWidth="1"/>
    <col min="14" max="14" width="15.42578125" style="1" bestFit="1" customWidth="1"/>
    <col min="15" max="16384" width="9.140625" style="1"/>
  </cols>
  <sheetData>
    <row r="1" spans="1:14" x14ac:dyDescent="0.25">
      <c r="A1" s="108" t="s">
        <v>143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x14ac:dyDescent="0.25">
      <c r="A2" s="108" t="s">
        <v>87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s="10" customFormat="1" x14ac:dyDescent="0.25">
      <c r="A3" s="11"/>
      <c r="B3" s="12" t="s">
        <v>88</v>
      </c>
      <c r="C3" s="12" t="s">
        <v>89</v>
      </c>
      <c r="D3" s="12" t="s">
        <v>90</v>
      </c>
      <c r="E3" s="12" t="s">
        <v>91</v>
      </c>
      <c r="F3" s="12" t="s">
        <v>92</v>
      </c>
      <c r="G3" s="12" t="s">
        <v>93</v>
      </c>
      <c r="H3" s="12" t="s">
        <v>94</v>
      </c>
      <c r="I3" s="12" t="s">
        <v>95</v>
      </c>
      <c r="J3" s="12" t="s">
        <v>96</v>
      </c>
      <c r="K3" s="12" t="s">
        <v>97</v>
      </c>
      <c r="L3" s="12" t="s">
        <v>98</v>
      </c>
      <c r="M3" s="12" t="s">
        <v>99</v>
      </c>
      <c r="N3" s="12" t="s">
        <v>100</v>
      </c>
    </row>
    <row r="4" spans="1:14" s="4" customFormat="1" x14ac:dyDescent="0.25">
      <c r="A4" s="15" t="s">
        <v>101</v>
      </c>
      <c r="B4" s="95">
        <v>0</v>
      </c>
      <c r="C4" s="95">
        <v>0</v>
      </c>
      <c r="D4" s="97">
        <v>0</v>
      </c>
      <c r="E4" s="95">
        <v>0</v>
      </c>
      <c r="F4" s="95">
        <v>0</v>
      </c>
      <c r="G4" s="95">
        <v>0</v>
      </c>
      <c r="H4" s="95">
        <v>0</v>
      </c>
      <c r="I4" s="95">
        <v>0</v>
      </c>
      <c r="J4" s="95">
        <v>0</v>
      </c>
      <c r="K4" s="95">
        <v>0</v>
      </c>
      <c r="L4" s="95">
        <v>0</v>
      </c>
      <c r="M4" s="95">
        <v>0</v>
      </c>
      <c r="N4" s="97">
        <f>SUM(B4:M4)</f>
        <v>0</v>
      </c>
    </row>
    <row r="5" spans="1:14" x14ac:dyDescent="0.25">
      <c r="A5" s="17" t="s">
        <v>102</v>
      </c>
      <c r="B5" s="96">
        <v>0</v>
      </c>
      <c r="C5" s="96">
        <v>0</v>
      </c>
      <c r="D5" s="99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6">
        <v>0</v>
      </c>
      <c r="N5" s="99">
        <f>SUM(B5:M5)</f>
        <v>0</v>
      </c>
    </row>
    <row r="6" spans="1:14" x14ac:dyDescent="0.25">
      <c r="A6" s="17" t="s">
        <v>103</v>
      </c>
      <c r="B6" s="96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6">
        <v>0</v>
      </c>
      <c r="N6" s="96">
        <v>0</v>
      </c>
    </row>
    <row r="7" spans="1:14" ht="16.5" thickBot="1" x14ac:dyDescent="0.3">
      <c r="A7" s="19" t="s">
        <v>104</v>
      </c>
      <c r="B7" s="105">
        <v>0</v>
      </c>
      <c r="C7" s="105">
        <v>0</v>
      </c>
      <c r="D7" s="105">
        <v>0</v>
      </c>
      <c r="E7" s="105">
        <v>0</v>
      </c>
      <c r="F7" s="105">
        <v>0</v>
      </c>
      <c r="G7" s="105">
        <v>0</v>
      </c>
      <c r="H7" s="105">
        <v>0</v>
      </c>
      <c r="I7" s="105">
        <v>0</v>
      </c>
      <c r="J7" s="105">
        <v>0</v>
      </c>
      <c r="K7" s="105">
        <v>0</v>
      </c>
      <c r="L7" s="105">
        <v>0</v>
      </c>
      <c r="M7" s="105">
        <v>0</v>
      </c>
      <c r="N7" s="105">
        <v>0</v>
      </c>
    </row>
    <row r="8" spans="1:14" ht="32.25" thickBot="1" x14ac:dyDescent="0.3">
      <c r="A8" s="20" t="s">
        <v>105</v>
      </c>
      <c r="B8" s="106">
        <v>0</v>
      </c>
      <c r="C8" s="106">
        <v>0</v>
      </c>
      <c r="D8" s="106">
        <v>0</v>
      </c>
      <c r="E8" s="106">
        <v>0</v>
      </c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106">
        <v>0</v>
      </c>
      <c r="L8" s="106">
        <v>0</v>
      </c>
      <c r="M8" s="106">
        <v>0</v>
      </c>
      <c r="N8" s="106">
        <v>0</v>
      </c>
    </row>
    <row r="9" spans="1:14" ht="31.5" x14ac:dyDescent="0.25">
      <c r="A9" s="18" t="s">
        <v>106</v>
      </c>
      <c r="B9" s="107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7">
        <f>SUM(B9:M9)</f>
        <v>0</v>
      </c>
    </row>
    <row r="10" spans="1:14" ht="31.5" x14ac:dyDescent="0.25">
      <c r="A10" s="21" t="s">
        <v>107</v>
      </c>
      <c r="B10" s="96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f>SUM(B10:M10)</f>
        <v>0</v>
      </c>
    </row>
    <row r="11" spans="1:14" ht="31.5" x14ac:dyDescent="0.25">
      <c r="A11" s="16" t="s">
        <v>108</v>
      </c>
      <c r="B11" s="96">
        <v>0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</row>
  </sheetData>
  <mergeCells count="2">
    <mergeCell ref="A1:N1"/>
    <mergeCell ref="A2:N2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zoomScaleNormal="100" workbookViewId="0">
      <selection activeCell="I22" sqref="I22"/>
    </sheetView>
  </sheetViews>
  <sheetFormatPr defaultRowHeight="15.75" x14ac:dyDescent="0.25"/>
  <cols>
    <col min="1" max="16384" width="9.140625" style="14"/>
  </cols>
  <sheetData>
    <row r="1" spans="1:14" x14ac:dyDescent="0.25">
      <c r="A1" s="109" t="s">
        <v>147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x14ac:dyDescent="0.25">
      <c r="A2" s="109" t="s">
        <v>109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x14ac:dyDescent="0.25">
      <c r="A3" s="28" t="s">
        <v>110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x14ac:dyDescent="0.25">
      <c r="A4" s="14" t="s">
        <v>146</v>
      </c>
    </row>
    <row r="5" spans="1:14" x14ac:dyDescent="0.25">
      <c r="A5" s="14" t="s">
        <v>136</v>
      </c>
    </row>
    <row r="6" spans="1:14" x14ac:dyDescent="0.25">
      <c r="A6" s="14" t="s">
        <v>144</v>
      </c>
    </row>
    <row r="7" spans="1:14" x14ac:dyDescent="0.25">
      <c r="A7" s="14" t="s">
        <v>145</v>
      </c>
    </row>
    <row r="8" spans="1:14" x14ac:dyDescent="0.25">
      <c r="A8" s="14" t="s">
        <v>127</v>
      </c>
    </row>
    <row r="9" spans="1:14" x14ac:dyDescent="0.25">
      <c r="A9" s="14" t="s">
        <v>139</v>
      </c>
    </row>
    <row r="11" spans="1:14" x14ac:dyDescent="0.25">
      <c r="A11" s="29" t="s">
        <v>148</v>
      </c>
    </row>
    <row r="12" spans="1:14" x14ac:dyDescent="0.25">
      <c r="A12" s="14" t="s">
        <v>111</v>
      </c>
    </row>
    <row r="13" spans="1:14" x14ac:dyDescent="0.25">
      <c r="A13" s="14" t="s">
        <v>149</v>
      </c>
    </row>
    <row r="14" spans="1:14" x14ac:dyDescent="0.25">
      <c r="A14" s="14" t="s">
        <v>150</v>
      </c>
    </row>
    <row r="15" spans="1:14" x14ac:dyDescent="0.25">
      <c r="A15" s="52"/>
    </row>
  </sheetData>
  <mergeCells count="2">
    <mergeCell ref="A2:N2"/>
    <mergeCell ref="A1:N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PLAN PRIHODA I RASHODA</vt:lpstr>
      <vt:lpstr>PLAN ZADUŽIVANJA I OTPLATA</vt:lpstr>
      <vt:lpstr>bilješke</vt:lpstr>
      <vt:lpstr>bilješke!Podrucje_ispisa</vt:lpstr>
      <vt:lpstr>'PLAN PRIHODA I RASHODA'!Podrucje_ispisa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Igor Matek</dc:creator>
  <cp:keywords/>
  <dc:description/>
  <cp:lastModifiedBy>Igor Matek</cp:lastModifiedBy>
  <cp:revision/>
  <cp:lastPrinted>2025-01-10T11:39:22Z</cp:lastPrinted>
  <dcterms:created xsi:type="dcterms:W3CDTF">2015-11-03T09:30:15Z</dcterms:created>
  <dcterms:modified xsi:type="dcterms:W3CDTF">2025-12-05T11:14:11Z</dcterms:modified>
  <cp:category/>
  <cp:contentStatus/>
</cp:coreProperties>
</file>